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8" activeTab="19"/>
  </bookViews>
  <sheets>
    <sheet name="Amoco 10335" sheetId="1" r:id="rId1"/>
    <sheet name="BYU 10790" sheetId="2" r:id="rId2"/>
    <sheet name="Brush Wellman 10311" sheetId="3" r:id="rId3"/>
    <sheet name="Chevron Refinery 10119" sheetId="4" r:id="rId4"/>
    <sheet name="Continental Lime 10313" sheetId="5" r:id="rId5"/>
    <sheet name="Flying J Refinery 10122" sheetId="6" r:id="rId6"/>
    <sheet name="Geneva Steel 10796" sheetId="7" r:id="rId7"/>
    <sheet name="Holnam Devils Slide 10007" sheetId="8" r:id="rId8"/>
    <sheet name="Intermtn Power 10327" sheetId="9" r:id="rId9"/>
    <sheet name="Interstate Brick 10423" sheetId="10" r:id="rId10"/>
    <sheet name="Kennecott Smelter 10346" sheetId="11" r:id="rId11"/>
    <sheet name="Kennecott N Concentrator 10572" sheetId="12" r:id="rId12"/>
    <sheet name="Phillips 66 10123" sheetId="13" r:id="rId13"/>
    <sheet name="Sunnyside Cogen 10096" sheetId="14" r:id="rId14"/>
    <sheet name="Utah State Univ  10047" sheetId="15" r:id="rId15"/>
    <sheet name="Pacificorp Carbon Pwr 10081" sheetId="16" r:id="rId16"/>
    <sheet name="Pacificorp Huntington Pwr 10238" sheetId="17" r:id="rId17"/>
    <sheet name="Pacificorp Hunter Pwr 10237" sheetId="18" r:id="rId18"/>
    <sheet name="Graymont Wstn Cricket Mtn 10313" sheetId="19" r:id="rId19"/>
    <sheet name="Tom Brown 10034" sheetId="20" r:id="rId20"/>
  </sheets>
  <definedNames>
    <definedName name="_xlnm.Print_Area" localSheetId="0">'Amoco 10335'!$A$6:$AB$25</definedName>
    <definedName name="_xlnm.Print_Area" localSheetId="2">'Brush Wellman 10311'!$A$5:$AB$25</definedName>
    <definedName name="_xlnm.Print_Area" localSheetId="1">'BYU 10790'!$A$6:$AB$20</definedName>
    <definedName name="_xlnm.Print_Area" localSheetId="3">'Chevron Refinery 10119'!$A$5:$AB$49</definedName>
    <definedName name="_xlnm.Print_Area" localSheetId="4">'Continental Lime 10313'!$A$7:$AB$29</definedName>
    <definedName name="_xlnm.Print_Area" localSheetId="5">'Flying J Refinery 10122'!$A$9:$AB$58</definedName>
    <definedName name="_xlnm.Print_Area" localSheetId="6">'Geneva Steel 10796'!$A$7:$AB$41</definedName>
    <definedName name="_xlnm.Print_Area" localSheetId="18">'Graymont Wstn Cricket Mtn 10313'!$A$6:$AB$33</definedName>
    <definedName name="_xlnm.Print_Area" localSheetId="7">'Holnam Devils Slide 10007'!$A$7:$AB$22</definedName>
    <definedName name="_xlnm.Print_Area" localSheetId="8">'Intermtn Power 10327'!$A$6:$AB$16</definedName>
    <definedName name="_xlnm.Print_Area" localSheetId="9">'Interstate Brick 10423'!$A$6:$AB$30</definedName>
    <definedName name="_xlnm.Print_Area" localSheetId="11">'Kennecott N Concentrator 10572'!$A$6:$AD$31</definedName>
    <definedName name="_xlnm.Print_Area" localSheetId="10">'Kennecott Smelter 10346'!$A$6:$AB$29</definedName>
    <definedName name="_xlnm.Print_Area" localSheetId="15">'Pacificorp Carbon Pwr 10081'!$A$6:$AB$34</definedName>
    <definedName name="_xlnm.Print_Area" localSheetId="17">'Pacificorp Hunter Pwr 10237'!$A$6:$AB$37</definedName>
    <definedName name="_xlnm.Print_Area" localSheetId="16">'Pacificorp Huntington Pwr 10238'!$A$6:$AB$35</definedName>
    <definedName name="_xlnm.Print_Area" localSheetId="12">'Phillips 66 10123'!$A$6:$AC$57</definedName>
    <definedName name="_xlnm.Print_Area" localSheetId="13">'Sunnyside Cogen 10096'!$A$6:$AC$32</definedName>
    <definedName name="_xlnm.Print_Area" localSheetId="19">'Tom Brown 10034'!$A$6:$AC$31</definedName>
    <definedName name="_xlnm.Print_Area" localSheetId="14">'Utah State Univ  10047'!$A$6:$AB$38</definedName>
    <definedName name="_xlnm.Print_Titles" localSheetId="0">'Amoco 10335'!$B:$B</definedName>
    <definedName name="_xlnm.Print_Titles" localSheetId="2">'Brush Wellman 10311'!$B:$B</definedName>
    <definedName name="_xlnm.Print_Titles" localSheetId="1">'BYU 10790'!$B:$B</definedName>
    <definedName name="_xlnm.Print_Titles" localSheetId="3">'Chevron Refinery 10119'!$B:$B</definedName>
    <definedName name="_xlnm.Print_Titles" localSheetId="4">'Continental Lime 10313'!$B:$B</definedName>
    <definedName name="_xlnm.Print_Titles" localSheetId="5">'Flying J Refinery 10122'!$B:$B,'Flying J Refinery 10122'!$9:$11</definedName>
    <definedName name="_xlnm.Print_Titles" localSheetId="6">'Geneva Steel 10796'!$B:$B</definedName>
    <definedName name="_xlnm.Print_Titles" localSheetId="18">'Graymont Wstn Cricket Mtn 10313'!$B:$B</definedName>
    <definedName name="_xlnm.Print_Titles" localSheetId="7">'Holnam Devils Slide 10007'!$B:$B</definedName>
    <definedName name="_xlnm.Print_Titles" localSheetId="9">'Interstate Brick 10423'!$B:$B</definedName>
    <definedName name="_xlnm.Print_Titles" localSheetId="11">'Kennecott N Concentrator 10572'!$B:$B</definedName>
    <definedName name="_xlnm.Print_Titles" localSheetId="10">'Kennecott Smelter 10346'!$B:$B</definedName>
    <definedName name="_xlnm.Print_Titles" localSheetId="15">'Pacificorp Carbon Pwr 10081'!$B:$B</definedName>
    <definedName name="_xlnm.Print_Titles" localSheetId="17">'Pacificorp Hunter Pwr 10237'!$B:$B</definedName>
    <definedName name="_xlnm.Print_Titles" localSheetId="16">'Pacificorp Huntington Pwr 10238'!$B:$B</definedName>
    <definedName name="_xlnm.Print_Titles" localSheetId="13">'Sunnyside Cogen 10096'!$B:$B</definedName>
    <definedName name="_xlnm.Print_Titles" localSheetId="19">'Tom Brown 10034'!$B:$B</definedName>
    <definedName name="_xlnm.Print_Titles" localSheetId="14">'Utah State Univ  10047'!$B:$B</definedName>
  </definedNames>
  <calcPr fullCalcOnLoad="1"/>
</workbook>
</file>

<file path=xl/comments11.xml><?xml version="1.0" encoding="utf-8"?>
<comments xmlns="http://schemas.openxmlformats.org/spreadsheetml/2006/main">
  <authors>
    <author>cnielsen</author>
  </authors>
  <commentList>
    <comment ref="Z19" authorId="0">
      <text>
        <r>
          <rPr>
            <sz val="8"/>
            <rFont val="Tahoma"/>
            <family val="0"/>
          </rPr>
          <t xml:space="preserve">AP-42. Table 3.4-1
</t>
        </r>
      </text>
    </comment>
    <comment ref="Z20" authorId="0">
      <text>
        <r>
          <rPr>
            <sz val="8"/>
            <rFont val="Tahoma"/>
            <family val="0"/>
          </rPr>
          <t xml:space="preserve">AP-42. Table 3.4-1
</t>
        </r>
      </text>
    </comment>
    <comment ref="Z21" authorId="0">
      <text>
        <r>
          <rPr>
            <sz val="8"/>
            <rFont val="Tahoma"/>
            <family val="0"/>
          </rPr>
          <t xml:space="preserve">AP42.  Table 3.3-1
</t>
        </r>
      </text>
    </comment>
  </commentList>
</comments>
</file>

<file path=xl/comments4.xml><?xml version="1.0" encoding="utf-8"?>
<comments xmlns="http://schemas.openxmlformats.org/spreadsheetml/2006/main">
  <authors>
    <author>cnielsen</author>
  </authors>
  <commentList>
    <comment ref="W9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1A-1 and 1A-2 not split out in NEI</t>
        </r>
      </text>
    </comment>
    <comment ref="W10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1A-1 and 1A-2 not split out in NEI</t>
        </r>
      </text>
    </comment>
    <comment ref="W11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1B-1 and 1B-2 not split out in NEI</t>
        </r>
      </text>
    </comment>
    <comment ref="W1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1B-1 and 1B-2 not split out in NEI</t>
        </r>
      </text>
    </comment>
    <comment ref="W2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6A-1 and 6A-2 not split out in NEI
</t>
        </r>
      </text>
    </comment>
    <comment ref="W23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6A-1 and 6A-2 not split out in NEI
</t>
        </r>
      </text>
    </comment>
  </commentList>
</comments>
</file>

<file path=xl/comments6.xml><?xml version="1.0" encoding="utf-8"?>
<comments xmlns="http://schemas.openxmlformats.org/spreadsheetml/2006/main">
  <authors>
    <author>cnielsen</author>
  </authors>
  <commentList>
    <comment ref="Z1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Natual Gas and Plant Gas were combined in NEI</t>
        </r>
      </text>
    </comment>
    <comment ref="Z14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
</t>
        </r>
      </text>
    </comment>
    <comment ref="Z16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18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0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4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6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8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30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</commentList>
</comments>
</file>

<file path=xl/sharedStrings.xml><?xml version="1.0" encoding="utf-8"?>
<sst xmlns="http://schemas.openxmlformats.org/spreadsheetml/2006/main" count="3686" uniqueCount="830">
  <si>
    <t>Intermountain Power Service Corp.</t>
  </si>
  <si>
    <t>Company Name</t>
  </si>
  <si>
    <t>Intermountain Generation Station</t>
  </si>
  <si>
    <t>Boiler-Coal fired</t>
  </si>
  <si>
    <t>01.0a</t>
  </si>
  <si>
    <t>Boiler</t>
  </si>
  <si>
    <t>02.0a</t>
  </si>
  <si>
    <t>1996 Statewide SOx Source</t>
  </si>
  <si>
    <t>btu/lb</t>
  </si>
  <si>
    <t>tons/yr</t>
  </si>
  <si>
    <t>magawatts</t>
  </si>
  <si>
    <t>Kennecott Utah Copper Corp.</t>
  </si>
  <si>
    <t>Smelter, Refinery, Lab</t>
  </si>
  <si>
    <t>Site ID</t>
  </si>
  <si>
    <t>Site Name</t>
  </si>
  <si>
    <t>If Throughput is a Fuel</t>
  </si>
  <si>
    <t>Design Rate</t>
  </si>
  <si>
    <t xml:space="preserve">
Amount</t>
  </si>
  <si>
    <t xml:space="preserve">
Units/Yr</t>
  </si>
  <si>
    <t xml:space="preserve">
Units</t>
  </si>
  <si>
    <t>Heating
Value</t>
  </si>
  <si>
    <t>%
Sulfur</t>
  </si>
  <si>
    <t>%
Ash</t>
  </si>
  <si>
    <t xml:space="preserve">
NSPS (Yes/No)</t>
  </si>
  <si>
    <t xml:space="preserve">
Associated Stack ID</t>
  </si>
  <si>
    <t xml:space="preserve">
Raw Material or Fuel used</t>
  </si>
  <si>
    <t xml:space="preserve">
Description of Process</t>
  </si>
  <si>
    <t xml:space="preserve">
SCC</t>
  </si>
  <si>
    <t xml:space="preserve">
Pt Source
ID</t>
  </si>
  <si>
    <t xml:space="preserve">
DAQ ID</t>
  </si>
  <si>
    <t>Primary Control</t>
  </si>
  <si>
    <t>Secondary Control</t>
  </si>
  <si>
    <t xml:space="preserve">
Pollutant
SOx</t>
  </si>
  <si>
    <t xml:space="preserve">
Control Code (See List)</t>
  </si>
  <si>
    <t xml:space="preserve">
% Emissions from Breakdown</t>
  </si>
  <si>
    <t xml:space="preserve">
Emissions**
(tons/yr)</t>
  </si>
  <si>
    <t xml:space="preserve">
Estimate Code</t>
  </si>
  <si>
    <t xml:space="preserve">
Emission Factor</t>
  </si>
  <si>
    <t xml:space="preserve">
Units</t>
  </si>
  <si>
    <t xml:space="preserve">
Comments</t>
  </si>
  <si>
    <t xml:space="preserve">
Control Efficiency (%)</t>
  </si>
  <si>
    <t xml:space="preserve">
Name of
Primary Control</t>
  </si>
  <si>
    <t xml:space="preserve">
Name of
Secondary Control</t>
  </si>
  <si>
    <t>Form #</t>
  </si>
  <si>
    <t>Regional Haze</t>
  </si>
  <si>
    <t>Formula(s) for calculating emissions</t>
  </si>
  <si>
    <t>Amoco Petroleum Products</t>
  </si>
  <si>
    <t>Salt Lake City Refinery</t>
  </si>
  <si>
    <t>2</t>
  </si>
  <si>
    <t>01</t>
  </si>
  <si>
    <t>crude unit furnace</t>
  </si>
  <si>
    <t/>
  </si>
  <si>
    <t>SOx</t>
  </si>
  <si>
    <t>mol % H2S in gas</t>
  </si>
  <si>
    <t>ultraformer furnace</t>
  </si>
  <si>
    <t>3</t>
  </si>
  <si>
    <t>regenerator heater</t>
  </si>
  <si>
    <t>9</t>
  </si>
  <si>
    <t>sulfur recovery unit</t>
  </si>
  <si>
    <t>acid gas</t>
  </si>
  <si>
    <t>average CEM reading</t>
  </si>
  <si>
    <t>4</t>
  </si>
  <si>
    <t>FCU/CO boiler</t>
  </si>
  <si>
    <t>5</t>
  </si>
  <si>
    <t>boiler plant</t>
  </si>
  <si>
    <t>6</t>
  </si>
  <si>
    <t>ultraformer compressor</t>
  </si>
  <si>
    <t>7</t>
  </si>
  <si>
    <t>south flare</t>
  </si>
  <si>
    <t>8</t>
  </si>
  <si>
    <t>north flare</t>
  </si>
  <si>
    <t>mol % H2S in fuel gas</t>
  </si>
  <si>
    <t>5a</t>
  </si>
  <si>
    <t>PLT</t>
  </si>
  <si>
    <t>Pilots</t>
  </si>
  <si>
    <t>No</t>
  </si>
  <si>
    <t>Yes</t>
  </si>
  <si>
    <t>Sulfur Plant</t>
  </si>
  <si>
    <t>LB/HOUR</t>
  </si>
  <si>
    <t>TOTAL</t>
  </si>
  <si>
    <t>plant gas</t>
  </si>
  <si>
    <t>btu/cu ft</t>
  </si>
  <si>
    <t>natural gas</t>
  </si>
  <si>
    <t>Diesel #2</t>
  </si>
  <si>
    <t>btu/gal</t>
  </si>
  <si>
    <t>mmscf</t>
  </si>
  <si>
    <t>lbs/mmscf</t>
  </si>
  <si>
    <t>mmbtu</t>
  </si>
  <si>
    <t>hrs</t>
  </si>
  <si>
    <t>mgal</t>
  </si>
  <si>
    <t>H2S ppm</t>
  </si>
  <si>
    <t>1996 Statewide SOx Sources</t>
  </si>
  <si>
    <t>Brigham Young University</t>
  </si>
  <si>
    <t>Main Campus</t>
  </si>
  <si>
    <t>HTHW gen #2,3,5 w/baghouse</t>
  </si>
  <si>
    <t>n/a</t>
  </si>
  <si>
    <t>HTHW generators 1, 4, 6 - fuel oil</t>
  </si>
  <si>
    <t>12</t>
  </si>
  <si>
    <t>front end loader</t>
  </si>
  <si>
    <t>Fabric Filter - High Temperature, i.e., T&gt;250 F</t>
  </si>
  <si>
    <t>Bituminous Coal</t>
  </si>
  <si>
    <t>tons</t>
  </si>
  <si>
    <t>Brush Resources Incorporated</t>
  </si>
  <si>
    <t>Delta Mill</t>
  </si>
  <si>
    <t>S-9</t>
  </si>
  <si>
    <t>sulfate mill</t>
  </si>
  <si>
    <t>Sulfuric acid</t>
  </si>
  <si>
    <t>S-10</t>
  </si>
  <si>
    <t>small boiler (back-up)</t>
  </si>
  <si>
    <t>#5 Fuel oil</t>
  </si>
  <si>
    <t>S-11</t>
  </si>
  <si>
    <t>process steam boiler</t>
  </si>
  <si>
    <t>F-6</t>
  </si>
  <si>
    <t>diesel combustion equipment</t>
  </si>
  <si>
    <t>S-8</t>
  </si>
  <si>
    <t>Roasting Grinding</t>
  </si>
  <si>
    <t>Venturi Scrubber</t>
  </si>
  <si>
    <t>Coal</t>
  </si>
  <si>
    <t>39 X percent sulfur X tons coal / 2000 = tons Sox</t>
  </si>
  <si>
    <t>Difference between this total and what was sent to NEI are rounding errors.</t>
  </si>
  <si>
    <t>Hours/year</t>
  </si>
  <si>
    <t>Propane</t>
  </si>
  <si>
    <t>Fuel oil</t>
  </si>
  <si>
    <t>Diesel</t>
  </si>
  <si>
    <t>User calculated based on agency's emission factor</t>
  </si>
  <si>
    <t>Emissions from 14661 is incorrect in NEI (.03).  It should be .04.</t>
  </si>
  <si>
    <t>Table 1.4-1 (10/96)</t>
  </si>
  <si>
    <t>Table 1.1-1 (9/88)</t>
  </si>
  <si>
    <t>gallons/yr</t>
  </si>
  <si>
    <t>Table 3.3-1 (10/92)</t>
  </si>
  <si>
    <t>BTUs</t>
  </si>
  <si>
    <t>MMBTUs</t>
  </si>
  <si>
    <t>Table 1.5-1 (7/93)</t>
  </si>
  <si>
    <t xml:space="preserve">Table 1.3-2 </t>
  </si>
  <si>
    <r>
      <t>Propane weighs 0.1196 lb/ft</t>
    </r>
    <r>
      <rPr>
        <vertAlign val="superscript"/>
        <sz val="10"/>
        <rFont val="Arial"/>
        <family val="2"/>
      </rPr>
      <t>3</t>
    </r>
  </si>
  <si>
    <r>
      <t>S = 0.10 grains/ft</t>
    </r>
    <r>
      <rPr>
        <vertAlign val="superscript"/>
        <sz val="10"/>
        <rFont val="Arial"/>
        <family val="2"/>
      </rPr>
      <t>3</t>
    </r>
  </si>
  <si>
    <t>Sox = 0.10(10.3) = 1.03 lbs/1000 gal</t>
  </si>
  <si>
    <t>Vol II Table II-7.1</t>
  </si>
  <si>
    <t>VOL II, Table II-7.1</t>
  </si>
  <si>
    <t>Salt Lake Refinery</t>
  </si>
  <si>
    <t>1a-1</t>
  </si>
  <si>
    <t>Boilers 1 &amp; 2</t>
  </si>
  <si>
    <t>1b-1</t>
  </si>
  <si>
    <t>Boilers 3 &amp; 4</t>
  </si>
  <si>
    <t>2a-1</t>
  </si>
  <si>
    <t>Crude F-1and F2</t>
  </si>
  <si>
    <t>3a</t>
  </si>
  <si>
    <t>FCC F-21</t>
  </si>
  <si>
    <t>3b</t>
  </si>
  <si>
    <t>FCC F-23</t>
  </si>
  <si>
    <t>3c</t>
  </si>
  <si>
    <t>FCC Reg./CO Boiler</t>
  </si>
  <si>
    <t>3d</t>
  </si>
  <si>
    <t>Cracker Flare</t>
  </si>
  <si>
    <t>HDN F7110 &amp; F-7130</t>
  </si>
  <si>
    <t>Reformer F-1</t>
  </si>
  <si>
    <t>5b</t>
  </si>
  <si>
    <t>Reformer F-2</t>
  </si>
  <si>
    <t>5c</t>
  </si>
  <si>
    <t>Reformer F-3</t>
  </si>
  <si>
    <t>6a-1</t>
  </si>
  <si>
    <t>Alkylation F-3617 (fuel gas)</t>
  </si>
  <si>
    <t>6b</t>
  </si>
  <si>
    <t>Alky Flare</t>
  </si>
  <si>
    <t>gas</t>
  </si>
  <si>
    <t>7a</t>
  </si>
  <si>
    <t>Coker F-7001</t>
  </si>
  <si>
    <t>7b</t>
  </si>
  <si>
    <t>Coker Flare</t>
  </si>
  <si>
    <t>8a</t>
  </si>
  <si>
    <t>HDS F-10</t>
  </si>
  <si>
    <t>8b</t>
  </si>
  <si>
    <t>HDS F-11</t>
  </si>
  <si>
    <t>15a</t>
  </si>
  <si>
    <t>10</t>
  </si>
  <si>
    <t>Reform. Comp. Drivers</t>
  </si>
  <si>
    <t>Fuel Gas</t>
  </si>
  <si>
    <t>Natural Gas</t>
  </si>
  <si>
    <t>Direct Flame Afterburner</t>
  </si>
  <si>
    <t>Flaring</t>
  </si>
  <si>
    <t>lbs/mmcf</t>
  </si>
  <si>
    <t>lbs/mbbls</t>
  </si>
  <si>
    <t>Boilers #1 &amp; 2</t>
  </si>
  <si>
    <t>1a-2</t>
  </si>
  <si>
    <t>Boilers #3 &amp; 4</t>
  </si>
  <si>
    <t>1b-2</t>
  </si>
  <si>
    <t>NA</t>
  </si>
  <si>
    <t>mbbls</t>
  </si>
  <si>
    <t>Source Test</t>
  </si>
  <si>
    <t>Gas</t>
  </si>
  <si>
    <t>6a-2</t>
  </si>
  <si>
    <t>Alkylation F-3617 (polymer fueled)</t>
  </si>
  <si>
    <t>Polymer</t>
  </si>
  <si>
    <t>1000 BBL</t>
  </si>
  <si>
    <t>lbs/mbbs</t>
  </si>
  <si>
    <t>CEM</t>
  </si>
  <si>
    <t>*TOTAL</t>
  </si>
  <si>
    <t>*Difference between this total and NEI total is due to rounding.</t>
  </si>
  <si>
    <t>Chevron Products Company</t>
  </si>
  <si>
    <t>1996 Statewide Sox Sources</t>
  </si>
  <si>
    <t>Graymont Western US Incorporated</t>
  </si>
  <si>
    <t>Cricket Mountain Plant</t>
  </si>
  <si>
    <t>20</t>
  </si>
  <si>
    <t>Miscellaneous-Equip (gas)</t>
  </si>
  <si>
    <t>Gasoline</t>
  </si>
  <si>
    <t>AP-42, vol 2, Part 2 Table II-7.1, 1/75</t>
  </si>
  <si>
    <t>Bulldozer</t>
  </si>
  <si>
    <t>Diesel #2 (Diesel)</t>
  </si>
  <si>
    <t>AP-42, vol 2 Part 2 Table II-7.1, 1/75</t>
  </si>
  <si>
    <t>Grader</t>
  </si>
  <si>
    <t>Front End Loaders</t>
  </si>
  <si>
    <t>Haul Truck</t>
  </si>
  <si>
    <t>151</t>
  </si>
  <si>
    <t>Lime Kiln #1 (D75)</t>
  </si>
  <si>
    <t>limestone</t>
  </si>
  <si>
    <t>Permit DAQE-021-96</t>
  </si>
  <si>
    <t>152</t>
  </si>
  <si>
    <t>Lime Kiln #2 (D275)</t>
  </si>
  <si>
    <t>153</t>
  </si>
  <si>
    <t>Lime Kiln #3 (D375)</t>
  </si>
  <si>
    <t>12a</t>
  </si>
  <si>
    <t xml:space="preserve"> Water Truck</t>
  </si>
  <si>
    <t>13a</t>
  </si>
  <si>
    <t>Forklift</t>
  </si>
  <si>
    <t>20a</t>
  </si>
  <si>
    <t>Miscellaneous Equip.-Diesel</t>
  </si>
  <si>
    <t>151c</t>
  </si>
  <si>
    <t>Fuel for K1</t>
  </si>
  <si>
    <t>Propane - Gaseous</t>
  </si>
  <si>
    <t>AP-42, Table 1.5-2 1/95</t>
  </si>
  <si>
    <t>152c</t>
  </si>
  <si>
    <t>Fuel for K2</t>
  </si>
  <si>
    <t>153c</t>
  </si>
  <si>
    <t>Fuel for K3</t>
  </si>
  <si>
    <t>AP-42, Table 1.5-2, 1/95</t>
  </si>
  <si>
    <t>(Was Continental Lime Inc.)</t>
  </si>
  <si>
    <t>Tons/day</t>
  </si>
  <si>
    <t>*Differences due to rounding.</t>
  </si>
  <si>
    <t>Flying J Incorporated</t>
  </si>
  <si>
    <t>Flying J Refinery (Big West Oil Co.)</t>
  </si>
  <si>
    <t>H-402</t>
  </si>
  <si>
    <t>Crude Furnace (vertical)</t>
  </si>
  <si>
    <t>Plant Gas - Gaseous</t>
  </si>
  <si>
    <t>H-401</t>
  </si>
  <si>
    <t>Crude furnace (broach)</t>
  </si>
  <si>
    <t>AP 42 Sec 1.4</t>
  </si>
  <si>
    <t>H-403</t>
  </si>
  <si>
    <t>Crude Unit Heater</t>
  </si>
  <si>
    <t>H-501</t>
  </si>
  <si>
    <t>Vacuum Heater</t>
  </si>
  <si>
    <t>H-602</t>
  </si>
  <si>
    <t>Unifiner Stripper Heater</t>
  </si>
  <si>
    <t>H-601</t>
  </si>
  <si>
    <t>Unifiner Charge Heater</t>
  </si>
  <si>
    <t>H-621</t>
  </si>
  <si>
    <t>Reformer Heater</t>
  </si>
  <si>
    <t>BLR-1</t>
  </si>
  <si>
    <t>#1 Boiler</t>
  </si>
  <si>
    <t>BLR-2</t>
  </si>
  <si>
    <t>#2 Boiler</t>
  </si>
  <si>
    <t>AP 42 Sec. 1.4</t>
  </si>
  <si>
    <t>H-101</t>
  </si>
  <si>
    <t>TCC Heater</t>
  </si>
  <si>
    <t>H-301</t>
  </si>
  <si>
    <t>Alky Feed Heater</t>
  </si>
  <si>
    <t>D-103</t>
  </si>
  <si>
    <t>Cat. Regen. System</t>
  </si>
  <si>
    <t>BLR-6</t>
  </si>
  <si>
    <t>#6 Boiler</t>
  </si>
  <si>
    <t>FL-1</t>
  </si>
  <si>
    <t>#1 Flare</t>
  </si>
  <si>
    <t>GB201</t>
  </si>
  <si>
    <t>Reformer Compressor</t>
  </si>
  <si>
    <t>AP 42 Sec 5.1</t>
  </si>
  <si>
    <t>FL-2</t>
  </si>
  <si>
    <t># 2 flare</t>
  </si>
  <si>
    <t>H-1001</t>
  </si>
  <si>
    <t>HDS Heater</t>
  </si>
  <si>
    <t>H-1201</t>
  </si>
  <si>
    <t>MDDW Heater</t>
  </si>
  <si>
    <t>H-1002</t>
  </si>
  <si>
    <t>HDS Stripper Heater</t>
  </si>
  <si>
    <t>AP42 Sec. 1.4</t>
  </si>
  <si>
    <t>H-1102</t>
  </si>
  <si>
    <t>SRU Incinerator</t>
  </si>
  <si>
    <t>LB/10^3 BARRELS</t>
  </si>
  <si>
    <t xml:space="preserve">
Emissions
(tons/yr)</t>
  </si>
  <si>
    <t>1000 bbl</t>
  </si>
  <si>
    <t>AP-42 5th Edition Section 5.1 (1/95) for pilot.  Flared Acid Gas is due to a SRU breakdown- Feed Stream is intermittently fed to flares.  No method of calculation provided by Flying J.</t>
  </si>
  <si>
    <t>AP 42 Sec. 5.1 (1/95) Adjusted by sulfur content of plant vs national average (18ppm/331ppm)</t>
  </si>
  <si>
    <t>Sox EF = ((Ave H2S ppm)/10^6) * (64 lb SO2/ lb mole) / (10^6 scf/mmscf) / (379 scf/ lb mole)) Fuel gas ave H2S ppm =35</t>
  </si>
  <si>
    <t>AP-42 Table 1.4-1 &amp; 1.4-2 (1/95)</t>
  </si>
  <si>
    <t>D-103 Sox (lb/1000 bbl) = (Feed, bbl/day/4958 bbl/day) * (wt% sulfur in feed/0.106 wt%) * (15.063 lb/hr) * (oper.)</t>
  </si>
  <si>
    <t>Other differences between the NEI and this spreadsheet are due to rounding.</t>
  </si>
  <si>
    <t>Geneva Steel</t>
  </si>
  <si>
    <t>Steel Manufacturing Facility</t>
  </si>
  <si>
    <t>FG04</t>
  </si>
  <si>
    <t>Other (unspecified)</t>
  </si>
  <si>
    <t>FG03</t>
  </si>
  <si>
    <t>CP02</t>
  </si>
  <si>
    <t>coke oven gas desulfurization (S.R.F.)</t>
  </si>
  <si>
    <t>Coke Oven Gas</t>
  </si>
  <si>
    <t>CP29</t>
  </si>
  <si>
    <t>Hot oil heater - srf</t>
  </si>
  <si>
    <t>BF04</t>
  </si>
  <si>
    <t>Stoves</t>
  </si>
  <si>
    <t>BF05</t>
  </si>
  <si>
    <t>Blast Furnace Gas</t>
  </si>
  <si>
    <t>BF08</t>
  </si>
  <si>
    <t>Fume suppression</t>
  </si>
  <si>
    <t>QB17a</t>
  </si>
  <si>
    <t>Steam boiler #1</t>
  </si>
  <si>
    <t>QB18a</t>
  </si>
  <si>
    <t>Steam boiler #2</t>
  </si>
  <si>
    <t>PH02</t>
  </si>
  <si>
    <t>Boilers</t>
  </si>
  <si>
    <t>PH04</t>
  </si>
  <si>
    <t>PH03</t>
  </si>
  <si>
    <t>PH05</t>
  </si>
  <si>
    <t>RM02</t>
  </si>
  <si>
    <t>Soaking pits</t>
  </si>
  <si>
    <t>RM03</t>
  </si>
  <si>
    <t>RM04</t>
  </si>
  <si>
    <t>Reheat furnaces</t>
  </si>
  <si>
    <t>RM05</t>
  </si>
  <si>
    <t>Reheat Furnaces</t>
  </si>
  <si>
    <t>RM06</t>
  </si>
  <si>
    <t>Residual Oil #6</t>
  </si>
  <si>
    <t>CP07</t>
  </si>
  <si>
    <t>coal charging in coke ovens</t>
  </si>
  <si>
    <t>CP08</t>
  </si>
  <si>
    <t>door leaks at coke plant</t>
  </si>
  <si>
    <t>RM09</t>
  </si>
  <si>
    <t>Ladle Preheat</t>
  </si>
  <si>
    <t>RM11</t>
  </si>
  <si>
    <t>Tundish Preheat</t>
  </si>
  <si>
    <t>QB17b</t>
  </si>
  <si>
    <t>Steam Boiler #1</t>
  </si>
  <si>
    <t>Fuel Oil #4 (Diesel &amp; Residual Mix)</t>
  </si>
  <si>
    <t>QB18b</t>
  </si>
  <si>
    <t>Steam Boiler #2</t>
  </si>
  <si>
    <t>BF13</t>
  </si>
  <si>
    <t>Cupola Exhaust</t>
  </si>
  <si>
    <t>FG06</t>
  </si>
  <si>
    <t>Back up Gen; Admin Bldg.</t>
  </si>
  <si>
    <t>FG07</t>
  </si>
  <si>
    <t>Back up Gen; Rolling Mill</t>
  </si>
  <si>
    <t>AP42 Vol II Table II-7.2</t>
  </si>
  <si>
    <t>10^6 cu ft/yr</t>
  </si>
  <si>
    <t>CP02 Sulfur Plant</t>
  </si>
  <si>
    <t>na</t>
  </si>
  <si>
    <t>AP42 Table 1.4-2 (10/92)</t>
  </si>
  <si>
    <t>*Coke Oven Gas</t>
  </si>
  <si>
    <t>* Incorrect throughput of natural gas in NEI (13145 should be 348.2).  Emissions are correct.</t>
  </si>
  <si>
    <t>mmcf/year</t>
  </si>
  <si>
    <t>General AO</t>
  </si>
  <si>
    <t>AP42 Table 1.4-1 (10/86)</t>
  </si>
  <si>
    <t>AP42 Table 1.4-1 (9/85)</t>
  </si>
  <si>
    <t>Included in plant COG calculation</t>
  </si>
  <si>
    <t>(.8234 LBS/MMCF) /  (75 BTU/CF)</t>
  </si>
  <si>
    <t>(Tons/Coal/Hr)*(S)/(100)*(64 lb Sox/32 lb S)*(2000 lbs/ton)</t>
  </si>
  <si>
    <t>Hrs/year</t>
  </si>
  <si>
    <t>Sulfur Content = 2000 gr/10^6 SCF</t>
  </si>
  <si>
    <t>AP42 Table 1.3-2 (1/96)</t>
  </si>
  <si>
    <t>AP42 Table 7.2-1 (10/86)</t>
  </si>
  <si>
    <t>No data in AP42</t>
  </si>
  <si>
    <t>AP42 Table 1.4-1 (Commercial Boiler Factor) (10/92)</t>
  </si>
  <si>
    <t>PFC - NOI, Jan. 1995</t>
  </si>
  <si>
    <t>**Scrap, Coke, Ore, Flux</t>
  </si>
  <si>
    <t>**Incorrect throughput of Hot Metal in NEI (82547 should be 73147).  Emissions are correct.</t>
  </si>
  <si>
    <t>Back-Up Generator NOI</t>
  </si>
  <si>
    <t>Holnam Incorporated</t>
  </si>
  <si>
    <t>Devil's Slide Plant</t>
  </si>
  <si>
    <t>05</t>
  </si>
  <si>
    <t>End Dump Trucks</t>
  </si>
  <si>
    <t>02</t>
  </si>
  <si>
    <t>07</t>
  </si>
  <si>
    <t>Graders</t>
  </si>
  <si>
    <t>08</t>
  </si>
  <si>
    <t>Bulldozers (Track Type)</t>
  </si>
  <si>
    <t>Tractors</t>
  </si>
  <si>
    <t>Kiln #1</t>
  </si>
  <si>
    <t>Clinker  (all emissions here)</t>
  </si>
  <si>
    <t>Test Data  12/96</t>
  </si>
  <si>
    <t>06</t>
  </si>
  <si>
    <t>Kiln #2</t>
  </si>
  <si>
    <t>Clinker  (All emissions here)</t>
  </si>
  <si>
    <t>Tons/hr</t>
  </si>
  <si>
    <t>lbs/hr</t>
  </si>
  <si>
    <t>*lbs/hr</t>
  </si>
  <si>
    <t>*EM for 1323 was entered incorrectly into NEI (.5 should be .2).  Emissions remain the same.</t>
  </si>
  <si>
    <t>lb/10^3 gallons</t>
  </si>
  <si>
    <t>AP42 Table II 7;.1, 7.2 (1995)</t>
  </si>
  <si>
    <t>10^3 Gallons/year</t>
  </si>
  <si>
    <t>Electrostatic Precipitator - High Efficienty 95-99%</t>
  </si>
  <si>
    <t>Interstate Brick Company</t>
  </si>
  <si>
    <t>Brick Manufacturing Plant</t>
  </si>
  <si>
    <t>Wet Scrubber - High Efficiency 95-99%</t>
  </si>
  <si>
    <t>Wet Scrubber - Low Efficiency &lt; 80%</t>
  </si>
  <si>
    <t>Tunnel Kiln #3</t>
  </si>
  <si>
    <t>Clay</t>
  </si>
  <si>
    <t>Tunnel Kiln #4</t>
  </si>
  <si>
    <t>Line 4 Shape Dryer</t>
  </si>
  <si>
    <t>AP-42 1.4-1</t>
  </si>
  <si>
    <t>Tile Plant Dryer</t>
  </si>
  <si>
    <t>Sox</t>
  </si>
  <si>
    <t>AP42 Vol. II Table II-7.1</t>
  </si>
  <si>
    <t>1000 cu ft/yr</t>
  </si>
  <si>
    <t>1000cu ft/yr</t>
  </si>
  <si>
    <t>Total</t>
  </si>
  <si>
    <t>**1298</t>
  </si>
  <si>
    <t>***1299</t>
  </si>
  <si>
    <t>SME010</t>
  </si>
  <si>
    <t>Granulation tank</t>
  </si>
  <si>
    <t>Molten matte</t>
  </si>
  <si>
    <t>SME011</t>
  </si>
  <si>
    <t>Copper smelting</t>
  </si>
  <si>
    <t>Copper concentrate</t>
  </si>
  <si>
    <t>SME014a</t>
  </si>
  <si>
    <t>Anode furnace</t>
  </si>
  <si>
    <t>Blister copper</t>
  </si>
  <si>
    <t>PM10 and SOx included in stk 11 ems.</t>
  </si>
  <si>
    <t>SME014s</t>
  </si>
  <si>
    <t>Shaft furnace</t>
  </si>
  <si>
    <t>Copper scrap</t>
  </si>
  <si>
    <t>included in stack 11 emissions</t>
  </si>
  <si>
    <t>SME025</t>
  </si>
  <si>
    <t>Ammonia (NH3) vaporizer</t>
  </si>
  <si>
    <t>REF002a/REF003a</t>
  </si>
  <si>
    <t>Boilers (2)</t>
  </si>
  <si>
    <t>Natural gas</t>
  </si>
  <si>
    <t>REF002b/REF003b</t>
  </si>
  <si>
    <t>REF006</t>
  </si>
  <si>
    <t>Sodium based scrubber</t>
  </si>
  <si>
    <t>SME016</t>
  </si>
  <si>
    <t>Space heaters</t>
  </si>
  <si>
    <t>SMEWH</t>
  </si>
  <si>
    <t>Water heaters</t>
  </si>
  <si>
    <t>SMEgen1</t>
  </si>
  <si>
    <t>Emergency backup power gen</t>
  </si>
  <si>
    <t>SMEgen2</t>
  </si>
  <si>
    <t>SMEa1p</t>
  </si>
  <si>
    <t>REFi210</t>
  </si>
  <si>
    <t>PM emergency generator</t>
  </si>
  <si>
    <t>SMEF</t>
  </si>
  <si>
    <t>Smelter</t>
  </si>
  <si>
    <t>SME025(WH)</t>
  </si>
  <si>
    <t>Water Heater</t>
  </si>
  <si>
    <t>Tons/year</t>
  </si>
  <si>
    <t>Tons/hour</t>
  </si>
  <si>
    <t>Hr/year</t>
  </si>
  <si>
    <t>Thruput Generating Emissions</t>
  </si>
  <si>
    <t>Other differences in the NEI and this spreadsheet are rounding differences.</t>
  </si>
  <si>
    <t>Other differences between these emissions and the NEI are due to rounding.</t>
  </si>
  <si>
    <t>*</t>
  </si>
  <si>
    <t>lbs/1000 gals</t>
  </si>
  <si>
    <t>gals/year</t>
  </si>
  <si>
    <t>*Differences between the NEI and this spreadsheet are due to rounding.</t>
  </si>
  <si>
    <t>lbs/million cu. Ft.</t>
  </si>
  <si>
    <t>Quench tower scrubber</t>
  </si>
  <si>
    <t>hours/year</t>
  </si>
  <si>
    <t>ESP</t>
  </si>
  <si>
    <t>Wet Scrubber</t>
  </si>
  <si>
    <t>Soda Ash Scrubber</t>
  </si>
  <si>
    <t>CEM.  Includes emissions from 13976 and 13978.</t>
  </si>
  <si>
    <t>gal/year</t>
  </si>
  <si>
    <t>lbs/1000 gal.</t>
  </si>
  <si>
    <t>Sodium Based Scrubber</t>
  </si>
  <si>
    <t>lbs/hour</t>
  </si>
  <si>
    <t>kg/kw-hr</t>
  </si>
  <si>
    <t>kW</t>
  </si>
  <si>
    <t>EF*hours/year*KW/hour*conversion factor (.0011023)</t>
  </si>
  <si>
    <t>kg/kW-hr</t>
  </si>
  <si>
    <t>lbs/1000 hp-hr</t>
  </si>
  <si>
    <t>hp</t>
  </si>
  <si>
    <t>EF*hours/year*kW/hour*2.1 lbs/1000 kW / 2000 lbs/ton</t>
  </si>
  <si>
    <t>EF-estimate from smelter NOI (Max 24-hr avg)</t>
  </si>
  <si>
    <t>*Differences between NEI and this spreadsheet are due to rounding.</t>
  </si>
  <si>
    <t>N. Concentrator/Power Plant/Lab/Tailings Pond</t>
  </si>
  <si>
    <t>UPP001</t>
  </si>
  <si>
    <t>Boiler #1</t>
  </si>
  <si>
    <t>UPP101</t>
  </si>
  <si>
    <t>boiler #1</t>
  </si>
  <si>
    <t>UPP002</t>
  </si>
  <si>
    <t>UPP003</t>
  </si>
  <si>
    <t>Boiler #3</t>
  </si>
  <si>
    <t>UPP004</t>
  </si>
  <si>
    <t>Boiler #4</t>
  </si>
  <si>
    <t>UPP102</t>
  </si>
  <si>
    <t>Boiler #2</t>
  </si>
  <si>
    <t>UPP103</t>
  </si>
  <si>
    <t>UPP104</t>
  </si>
  <si>
    <t>boiler #4</t>
  </si>
  <si>
    <t>NOCi 204</t>
  </si>
  <si>
    <t>NG Steam Boiler</t>
  </si>
  <si>
    <t>NOCi205</t>
  </si>
  <si>
    <t>NOC022</t>
  </si>
  <si>
    <t>UPPi203</t>
  </si>
  <si>
    <t>Natural Gas Engine</t>
  </si>
  <si>
    <t>Boiler Baghouse</t>
  </si>
  <si>
    <t>Phillips Refinery</t>
  </si>
  <si>
    <t>Hunter Power Plant</t>
  </si>
  <si>
    <t>Huntington Power Plant</t>
  </si>
  <si>
    <t>Lisbon Plant-Hook &amp; Ladder</t>
  </si>
  <si>
    <t>Sunnyside Cogeneration Facility</t>
  </si>
  <si>
    <t>Heating Plant - Primary Source</t>
  </si>
  <si>
    <t>Low-sulfur Coal</t>
  </si>
  <si>
    <t xml:space="preserve">   2 lb SO2/lb Sulfur</t>
  </si>
  <si>
    <t>EF=.97 X 2 or 1.94</t>
  </si>
  <si>
    <t xml:space="preserve">wt % S = .35 or 3500 wppm. </t>
  </si>
  <si>
    <t>**lbs sulfur/year</t>
  </si>
  <si>
    <t>lbs SO2/lb of Sulfur</t>
  </si>
  <si>
    <t>mmcf/yr</t>
  </si>
  <si>
    <t>lb/mmcf</t>
  </si>
  <si>
    <t>Btu/cft</t>
  </si>
  <si>
    <t>mmBtu/hr</t>
  </si>
  <si>
    <t>Btu/lb</t>
  </si>
  <si>
    <t>** lbs of sulfur from Sources monthly records</t>
  </si>
  <si>
    <t>* .97 of sulfur in coal emitted as SO2 (AP-42 Table 1.101, footnote c)</t>
  </si>
  <si>
    <t>Did not operate in 1996</t>
  </si>
  <si>
    <t>#</t>
  </si>
  <si>
    <t>#mmcf/hr  x  hours/year / btu/cuft = mmcuft/year</t>
  </si>
  <si>
    <t>Phillips 66 Company</t>
  </si>
  <si>
    <t>51-4</t>
  </si>
  <si>
    <t>boiler</t>
  </si>
  <si>
    <t>Mixed Fuel</t>
  </si>
  <si>
    <t>51-5</t>
  </si>
  <si>
    <t>51-6</t>
  </si>
  <si>
    <t>51-7</t>
  </si>
  <si>
    <t>34" stack/combustion</t>
  </si>
  <si>
    <t>09-1</t>
  </si>
  <si>
    <t>furnace</t>
  </si>
  <si>
    <t>07-1</t>
  </si>
  <si>
    <t>09-2</t>
  </si>
  <si>
    <t>10-2</t>
  </si>
  <si>
    <t>17-1</t>
  </si>
  <si>
    <t>incinerator</t>
  </si>
  <si>
    <t>CEM Data</t>
  </si>
  <si>
    <t>04-3</t>
  </si>
  <si>
    <t>Catalytic Cracking Circulation</t>
  </si>
  <si>
    <t>11-1</t>
  </si>
  <si>
    <t>13-1</t>
  </si>
  <si>
    <t>45-3</t>
  </si>
  <si>
    <t>heater</t>
  </si>
  <si>
    <t>45-4</t>
  </si>
  <si>
    <t>04-1</t>
  </si>
  <si>
    <t>06-2</t>
  </si>
  <si>
    <t>06-3</t>
  </si>
  <si>
    <t>08-1</t>
  </si>
  <si>
    <t>12-1</t>
  </si>
  <si>
    <t>45-1</t>
  </si>
  <si>
    <t>45-2</t>
  </si>
  <si>
    <t>06-1</t>
  </si>
  <si>
    <t>66-1</t>
  </si>
  <si>
    <t>66-2</t>
  </si>
  <si>
    <t>68-1</t>
  </si>
  <si>
    <t>propane flare</t>
  </si>
  <si>
    <t>07-2</t>
  </si>
  <si>
    <t>1000 cu ft</t>
  </si>
  <si>
    <t>Btu/scf</t>
  </si>
  <si>
    <t>lbs/mm cu ft</t>
  </si>
  <si>
    <t>Unspecified</t>
  </si>
  <si>
    <t>mm cu ft</t>
  </si>
  <si>
    <t>Mixed</t>
  </si>
  <si>
    <t>Flux</t>
  </si>
  <si>
    <t>FCC</t>
  </si>
  <si>
    <t>39.3 lb/hr x 1523.25 hours</t>
  </si>
  <si>
    <t>65.03 lb/hr x 312.75 hours</t>
  </si>
  <si>
    <t xml:space="preserve">123.76 lb/hr x 4344 hours </t>
  </si>
  <si>
    <t>*Emission point 51-6</t>
  </si>
  <si>
    <t xml:space="preserve">TCC-Sox </t>
  </si>
  <si>
    <t>**</t>
  </si>
  <si>
    <t>1996 Stack tests</t>
  </si>
  <si>
    <t>*** EF for plant gas calculated using (lb Sox/mmscf gas) = (avg ppm H2S/1000000) x (64 lb SO2/lb mole) x (1000000 scf/mmscf)/(379 scf/lb mole)</t>
  </si>
  <si>
    <t>EF = 2.155 lbs of Sox/mmscf of plant gas</t>
  </si>
  <si>
    <t>Emissions = (EF x hours/year) + breakdown emissions</t>
  </si>
  <si>
    <t>FCC operation</t>
  </si>
  <si>
    <t>furnace-TCC operation flux</t>
  </si>
  <si>
    <t>TCC Mixed operation</t>
  </si>
  <si>
    <t>tons/day</t>
  </si>
  <si>
    <t>Days/year</t>
  </si>
  <si>
    <t>AP42</t>
  </si>
  <si>
    <t>Crude Charge</t>
  </si>
  <si>
    <t>flare 46% of total</t>
  </si>
  <si>
    <t>flare 54% of total</t>
  </si>
  <si>
    <t># Flares</t>
  </si>
  <si>
    <t xml:space="preserve"> North Flare was used 54% of time to control 8103831 bbl of crude</t>
  </si>
  <si>
    <t xml:space="preserve"> South Flare was used 46% of time to control 8103831 bbl of crude</t>
  </si>
  <si>
    <t>Propane does not contain sulfur</t>
  </si>
  <si>
    <t>BBLs</t>
  </si>
  <si>
    <t xml:space="preserve"> Emissions = (EF x bbl of crude x % of use /2000 lbs/ton) + breakdown emissions</t>
  </si>
  <si>
    <t>Difference between 1996 NEI and this spreadsheet is due to rounding.</t>
  </si>
  <si>
    <t>Sunnyside Cogeneration Associates</t>
  </si>
  <si>
    <t>01.0</t>
  </si>
  <si>
    <t>CFBC BOILER/TURBINE</t>
  </si>
  <si>
    <t>01.0A</t>
  </si>
  <si>
    <t>02.0</t>
  </si>
  <si>
    <t>DIESEL GENERATOR</t>
  </si>
  <si>
    <t>Processed Coal</t>
  </si>
  <si>
    <t>tons/hour</t>
  </si>
  <si>
    <t>Gals/year</t>
  </si>
  <si>
    <t>gal/hour</t>
  </si>
  <si>
    <t>FBC w/Limestone Additive</t>
  </si>
  <si>
    <t>lb/mmbtu</t>
  </si>
  <si>
    <t>lb/1000 gal</t>
  </si>
  <si>
    <t>AP-42 Section 1.3</t>
  </si>
  <si>
    <t>AP-42 Section 3.3</t>
  </si>
  <si>
    <t>378,231 tons of coal/year  x 6,458 Btu/lb x (1 mmbtu/1000000 Btu) x .41 lb Sox/mmbtu) = 1001.47 ton/yr Sox</t>
  </si>
  <si>
    <t xml:space="preserve">EF = 157 x .85 lb/1000 gal </t>
  </si>
  <si>
    <t xml:space="preserve">      = 133.45</t>
  </si>
  <si>
    <t>1000 gal/year</t>
  </si>
  <si>
    <t>(per AP-42 1.3-1)</t>
  </si>
  <si>
    <t>*11097</t>
  </si>
  <si>
    <t>5,900,000 btu/BBL</t>
  </si>
  <si>
    <t>(per AP-42 appendix A-4, A-6, and 3.3-6)</t>
  </si>
  <si>
    <t>0.29 lbs/mmBTUs</t>
  </si>
  <si>
    <t>Utah State University</t>
  </si>
  <si>
    <t>1</t>
  </si>
  <si>
    <t>Steam Production for Heating</t>
  </si>
  <si>
    <t>Natural Gas/Coal</t>
  </si>
  <si>
    <t>Animal Cremator</t>
  </si>
  <si>
    <t>mmbtu/yr</t>
  </si>
  <si>
    <t>Ash Reinjection</t>
  </si>
  <si>
    <t>Secondary Combustion</t>
  </si>
  <si>
    <t>Multiple Cyclone</t>
  </si>
  <si>
    <t>N/a</t>
  </si>
  <si>
    <t>Tons/yr</t>
  </si>
  <si>
    <t>Oil</t>
  </si>
  <si>
    <t>Gal/yr</t>
  </si>
  <si>
    <t>mmbtu/hr</t>
  </si>
  <si>
    <t>lb/ton</t>
  </si>
  <si>
    <t>0.6 lbs/mmcf x 158 mmcf/year / 2000 lbs/ton = 0.047</t>
  </si>
  <si>
    <t>(NEI incorrectly has .01 tons/year for this unit.)</t>
  </si>
  <si>
    <t>* 13894 &amp; 13896</t>
  </si>
  <si>
    <t>(Coal)</t>
  </si>
  <si>
    <t>(Oil)</t>
  </si>
  <si>
    <t>(Natural Gas)</t>
  </si>
  <si>
    <t>0.6 lbs/mmcf x .558 mmcf/year / 2000 lbs/ton = 0.0002</t>
  </si>
  <si>
    <t>The difference between the NEI and this spreadsheet is due to rounding.</t>
  </si>
  <si>
    <t xml:space="preserve">PacifiCorp                              </t>
  </si>
  <si>
    <t>Carbon Power Plant</t>
  </si>
  <si>
    <t>Dry bottom tangentially fired utility boiler</t>
  </si>
  <si>
    <t>CEMS</t>
  </si>
  <si>
    <t>Table 1.3-2-page 1.3-4</t>
  </si>
  <si>
    <t>1.3-2</t>
  </si>
  <si>
    <t>67</t>
  </si>
  <si>
    <t>off-hwy truck</t>
  </si>
  <si>
    <t>Emergency diesel generator</t>
  </si>
  <si>
    <t>Table 3.3-2 pg. 3.3</t>
  </si>
  <si>
    <t>13</t>
  </si>
  <si>
    <t>Emergency diesel fire pump</t>
  </si>
  <si>
    <t>AP-42 Table 3.3-2, pg 3.3</t>
  </si>
  <si>
    <t>lbs/mmbtu</t>
  </si>
  <si>
    <t>*Formula(s) for calculating emissions</t>
  </si>
  <si>
    <t>((0.621 lbs/mmbtu x 275828 tons/year of coal x 2000 lbs/ton x 12101 btu/lb) / 2000 lbs/ton) / 1000000 = 2072.8</t>
  </si>
  <si>
    <t>((0.625 lbs/mmbtu x 375887 tons/year of coal x 2000 lbs/ton x 12106 btu/lb) / 2000 lbs/ton) / 1000000 = 2844.1</t>
  </si>
  <si>
    <t>Btu/gal</t>
  </si>
  <si>
    <t>lb/1000 gals</t>
  </si>
  <si>
    <t>(14 lbs/1000 gals x 24715 gals/year / 1000 gals)/ 2000 lbs/ton = 0.173</t>
  </si>
  <si>
    <t>(14 lbs/1000 gals x 42593 gals/year / 1000 gals)/ 2000 lbs/ton = 0.2982</t>
  </si>
  <si>
    <t>(0.45 Lbs/hour x 2080 hour/year) /2000 lbs/ton = .468 tons</t>
  </si>
  <si>
    <t>hp-hr</t>
  </si>
  <si>
    <t>lb/hp-hr</t>
  </si>
  <si>
    <t>(.0021 lb/hp/hr x 50 hr/year x 250 hp)/2000 lbs/ton = .013125</t>
  </si>
  <si>
    <t>(.0021 lb/hp/hr x 1030 hr/year x 250 hp)/2000 lbs/ton = 0.27038</t>
  </si>
  <si>
    <t>The difference between NEI and this spreadsheet is due to rounding.</t>
  </si>
  <si>
    <t>1996 SOx Sources</t>
  </si>
  <si>
    <t>dry bottom tangentially fired utility boiler</t>
  </si>
  <si>
    <t>off-hwy trucks</t>
  </si>
  <si>
    <t>DAQ suggested factor</t>
  </si>
  <si>
    <t>15</t>
  </si>
  <si>
    <t>Auxiliary Steam Boiler for Unit #1</t>
  </si>
  <si>
    <t>Distillate Fuel Oil</t>
  </si>
  <si>
    <t>16</t>
  </si>
  <si>
    <t>Auxiliary Steam Boiler for Unit #2</t>
  </si>
  <si>
    <t>Emergency generator diesel engine for Unit #1</t>
  </si>
  <si>
    <t>Table 3.3-2</t>
  </si>
  <si>
    <t>Emergency generator diesel engine for Unit #2</t>
  </si>
  <si>
    <t>14</t>
  </si>
  <si>
    <t>Emergency fire pump diesel engine</t>
  </si>
  <si>
    <t>tons/year</t>
  </si>
  <si>
    <t>btu/pound</t>
  </si>
  <si>
    <t>0.127 lbs/mmcf x 11554 btu/lb x 1456376 tons of coal x 2000 lbs/ton / 1000000 btu /2000 lbs/ton = 2,137.02</t>
  </si>
  <si>
    <t>The Sox for this component in the NEI was mistakenly listed as 1.9</t>
  </si>
  <si>
    <t>0.629 lbs/mmcf x 11513 btu/lb x 1448305 tons of coal x 2000 lbs/ton / 1000000 btu /2000 lbs/ton = 10,488</t>
  </si>
  <si>
    <t>off-hwy trucks (2)</t>
  </si>
  <si>
    <t xml:space="preserve">lbs/hour </t>
  </si>
  <si>
    <t>.45 lbs/hr x 2080 hours/year / 2000 = 0.47</t>
  </si>
  <si>
    <t>gals/hour</t>
  </si>
  <si>
    <t>14 lbs/1000 gals x 202.007 1000 gals/year / 2000 lbs/ton = 1.41</t>
  </si>
  <si>
    <t>14 lbs/1000 gals x 265.24 1000 gals/year / 2000 lbs/ton = 1.9</t>
  </si>
  <si>
    <t>14 lbs/1000 gals x 15.12 1000 gal/year / 2000 lbs/ton = .1</t>
  </si>
  <si>
    <t>AP-42 Table 1.3-4</t>
  </si>
  <si>
    <t>14 lbs/1000 gals x 16.9 1000 gal/year / 2000 = .1</t>
  </si>
  <si>
    <t>The Sox for this component in the NEI was mistakenly listed as 0.03</t>
  </si>
  <si>
    <t>Source used 4 lb/1000 gal instead of 14 lbs/1000 gal.</t>
  </si>
  <si>
    <t>0.00205 lb/hp-hr x 54 hr/yr x 1155 hp / 2000 lbs/ton = .06</t>
  </si>
  <si>
    <t>0.00205 lb/hp-hr x 68 hr/yr x 1155 hp / 2000 lbs/ton = .08</t>
  </si>
  <si>
    <t>0.00205 lb/hp-hr x 626 hr/yr x 250 hp / 2000 lbs/ton = .16</t>
  </si>
  <si>
    <t>utility boiler (coal fueled)</t>
  </si>
  <si>
    <t>utility boiler (oil fueled)</t>
  </si>
  <si>
    <t>DAQ suggested</t>
  </si>
  <si>
    <t>Auxiliary steam boiler for Unit #1</t>
  </si>
  <si>
    <t>Emergency diesel generator for Unit #1</t>
  </si>
  <si>
    <t>AP-42 Table 3.3-2</t>
  </si>
  <si>
    <t>Emergency diesel generator for Unit #2</t>
  </si>
  <si>
    <t>17</t>
  </si>
  <si>
    <t>Emergency diesel generator for Unit #3</t>
  </si>
  <si>
    <t>19</t>
  </si>
  <si>
    <t>Emergency diesel fire pump #2</t>
  </si>
  <si>
    <t>Tom Brown Incorporated</t>
  </si>
  <si>
    <t>4.1</t>
  </si>
  <si>
    <t>Flares</t>
  </si>
  <si>
    <t>4.2</t>
  </si>
  <si>
    <t>Incinerator</t>
  </si>
  <si>
    <t>External Combustion-Separator</t>
  </si>
  <si>
    <t>ton/hour</t>
  </si>
  <si>
    <t>Gas scrubber</t>
  </si>
  <si>
    <t>AP-42 Table 1.3-2</t>
  </si>
  <si>
    <t>(EF 14 lbs/1000gal x (117886 gal/year / 1000 gals)/  2000 lbs/ton = 0.83</t>
  </si>
  <si>
    <t>Difference in NEI and this spreadsheet (.01) tons is due to rounding.</t>
  </si>
  <si>
    <t>(EF .16 lbs/mmbtu x (1369851 tons coal x 2000 lb/ton) x (11464 bl/btu/1000000 btu)) / 2000 lbs/ton = 2512.64</t>
  </si>
  <si>
    <t>(EF 14 lbs/1000gal x (92280 gal/year / 1000 gals)/  2000 lbs/ton =0.65</t>
  </si>
  <si>
    <t>(EF .07 lbs/mmbtu x (1382151 tons coal x 2000 lb/ton) x (11367lb/btu/1000000 btu)) / 2000 lbs/ton = 1099.76</t>
  </si>
  <si>
    <t>(EF .16 lbs/mmbtu x (1436921 tons coal x 2000 lb/ton) x (11575lb/btu/1000000 btu)) / 2000 lbs/ton = 2661.18</t>
  </si>
  <si>
    <t>(EF 14 lbs/1000gal x 406818 gal/year / 1000 gals)/  2000 lbs/ton =2.85</t>
  </si>
  <si>
    <t>Difference in NEI and this spreadsheet (.04) tons is due to rounding.</t>
  </si>
  <si>
    <t>(EF 14 lbs/1000gal x (21840 gal/year / 1000 gals)/  2000 lbs/ton =0.15</t>
  </si>
  <si>
    <t>(EF .45 lbs/hour x 2912 hr/yr / 2000) = 0.66</t>
  </si>
  <si>
    <t>13704 and 13705</t>
  </si>
  <si>
    <t>(EF 0.00205 lb/hp-hr x 26 hours/year x 1070 hp) /2000 lbs/ton = 0.03</t>
  </si>
  <si>
    <t>(EF 0.00205 lb/hp-hr x 26 hours/year x 915 hp) /2000 lbs/ton = 0.02</t>
  </si>
  <si>
    <t>(EF 0.00205 lb/hp-hr x 26 hours/year x 167 hp) /2000 lbs/ton = 0.004</t>
  </si>
  <si>
    <t>gal/yr</t>
  </si>
  <si>
    <t>lbs/1000 gal</t>
  </si>
  <si>
    <t>EF in lbs/1000 gals x (gals/year /1000 gals)/2000 lbs/ton</t>
  </si>
  <si>
    <t>Baghouse</t>
  </si>
  <si>
    <t>Water Truck</t>
  </si>
  <si>
    <t>(EF 22.4 lbs/hr x 8239.4 hr/yr / 2000 lbs/ton) + 2.63 tons breakdown emissions = 114.69 tons</t>
  </si>
  <si>
    <t>(EF 22.4 lbs/hr x 7761 hr/yr / 2000 lbs/ton) + 1.6 tons breakdown emissions = 88.5 tons</t>
  </si>
  <si>
    <t>(EF 22.4 lbs/hr x 8051.3 hr/yr / 2000 lbs/ton) + .06 tons breakdown emissions = 90.23 tons</t>
  </si>
  <si>
    <t>982, 1030, 1197, 1198, 1199, 9664, 9665, 9666,  11726, 11727, nand 11728</t>
  </si>
  <si>
    <t>(was Continental Lime)</t>
  </si>
  <si>
    <t>Convert H2S to Sox</t>
  </si>
  <si>
    <t>Tons of Sox/ylr = k(MCF/yr x mole % H2S x 168.9 lbs Sox/2000</t>
  </si>
  <si>
    <t>H2S average is 1.0846</t>
  </si>
  <si>
    <t>Total inlet gas stream for 1996 = 18,221,367 MCF/yr</t>
  </si>
  <si>
    <t>Total inlet sulfur plant gas stream for 1996 = 4,848,214 MCF/yr</t>
  </si>
  <si>
    <t>Average gas chromatograph H2S for inlet plant gas stream = 1.0846%</t>
  </si>
  <si>
    <t>Average gas chromatograph H2S for inlet sulfur plant gas stream = 4.08%</t>
  </si>
  <si>
    <t xml:space="preserve">Tons of Sox in Plant inlet gas stream - (18,221,367 x .010846 x 168.9)/2000 = </t>
  </si>
  <si>
    <t>Tons of Sox in sulfur plant inlet gas stream = (4,838,214 x .0408 x 168.9)/2000 =</t>
  </si>
  <si>
    <t>16,670 tons Sox/yr</t>
  </si>
  <si>
    <t xml:space="preserve">                        DIFFERENCE </t>
  </si>
  <si>
    <t xml:space="preserve">      20 tons Sox/yr</t>
  </si>
  <si>
    <t>16,690 tons Sox/yr</t>
  </si>
  <si>
    <t>Mass balance</t>
  </si>
  <si>
    <t>More detailed data available UDAQ</t>
  </si>
  <si>
    <t>Sulfur recovery unit</t>
  </si>
  <si>
    <t>btu/scf</t>
  </si>
  <si>
    <t>EF 100 lbs/mmscf x 16.3 mmscf / 2000 lbs/ton = .815</t>
  </si>
  <si>
    <t>Difference between NEI and this spreadsheet is from rounding.</t>
  </si>
  <si>
    <t xml:space="preserve">lbs/ton </t>
  </si>
  <si>
    <t>*lb/ton</t>
  </si>
  <si>
    <t>Pounds/mmscf</t>
  </si>
  <si>
    <t>* Formulas</t>
  </si>
  <si>
    <t xml:space="preserve">EF 0.182 lb/hour x 3120 hrs/yr / 2000 lbs/ton = 0.28 </t>
  </si>
  <si>
    <t>EF 0.1 lb/ton x 64910 tons/yr. / 2000 lbs/ton = 0.195</t>
  </si>
  <si>
    <t>EF 1.19 lbs/ ton x 118922 tons/year / 2000 lbs/ton = 70.76</t>
  </si>
  <si>
    <t>EF 0.6 lbs/mmscf x 9984 1000 scf.yr / 2000 lbs/ton = .002</t>
  </si>
  <si>
    <t>EF 0.6 lbs/mmscf x 19968 1000 scf.yr / 2000 lbs/ton = .005</t>
  </si>
  <si>
    <t>lb/hr</t>
  </si>
  <si>
    <t xml:space="preserve">Unspecified </t>
  </si>
  <si>
    <t xml:space="preserve">
Name of
Secondary Control</t>
  </si>
  <si>
    <t xml:space="preserve">
% Emissions from Breakdown</t>
  </si>
  <si>
    <t>4126 gallons = 142496 x 4126 BTU</t>
  </si>
  <si>
    <t xml:space="preserve">
Pt Source
ID</t>
  </si>
  <si>
    <t>1000 gal/yr</t>
  </si>
  <si>
    <t>Hrs/yr</t>
  </si>
  <si>
    <t>hrs/yr</t>
  </si>
  <si>
    <t>lb/gal</t>
  </si>
  <si>
    <t>Sox EF propane = 0.10(S)lb/1000 gal</t>
  </si>
  <si>
    <t>S = grains S/1000 of propane gas</t>
  </si>
  <si>
    <t xml:space="preserve"> </t>
  </si>
  <si>
    <t>Phillips 66 data</t>
  </si>
  <si>
    <t>S = 123 ppm</t>
  </si>
  <si>
    <r>
      <t>S  = (123/1000000) x 0.1196 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x (7000 grains/lb)</t>
    </r>
  </si>
  <si>
    <r>
      <t>S = 10.3 grains/1000 ft</t>
    </r>
    <r>
      <rPr>
        <vertAlign val="superscript"/>
        <sz val="10"/>
        <rFont val="Arial"/>
        <family val="2"/>
      </rPr>
      <t>3</t>
    </r>
  </si>
  <si>
    <t>mmscf/yr</t>
  </si>
  <si>
    <t>1000 scf/yr</t>
  </si>
  <si>
    <t>mbbls/yr</t>
  </si>
  <si>
    <t>btu/cf</t>
  </si>
  <si>
    <t>btu/bbl</t>
  </si>
  <si>
    <t>Agreed to per 1990 PM10 SIP</t>
  </si>
  <si>
    <t>(% S/100) * (lb mole/379 cf)*(32 lb/lb mole)*(2 SO2/S)*(1 x 10^6 cf/mmcf); % S for 1996 was 0.00138</t>
  </si>
  <si>
    <t>AP-42 5th Edition, Table 1.3-1 (9/98)</t>
  </si>
  <si>
    <t>AP-42 5th Edition, Table 1.3-1, 9/98</t>
  </si>
  <si>
    <t>AP-42 5th Edition, Table 5.1-1, 01/95, each flare is based on 1/3 of crude unit throughput</t>
  </si>
  <si>
    <t>10^3 Gals/yr</t>
  </si>
  <si>
    <t>Lb/10^3 gals</t>
  </si>
  <si>
    <t>Lbs/hr</t>
  </si>
  <si>
    <t>By mistake 1.34 tons of emissions were not included in the NEI for this component ID</t>
  </si>
  <si>
    <t>By mistake 1.44 more emissions were included in the NEI for this component ID than should have been.</t>
  </si>
  <si>
    <t>lb/10^3 bbl</t>
  </si>
  <si>
    <t>hrs/year</t>
  </si>
  <si>
    <t>tons hot metal/year</t>
  </si>
  <si>
    <t>lb/10^3 gal</t>
  </si>
  <si>
    <t>lb/10^6 cu ft</t>
  </si>
  <si>
    <t>lbs/mmbtu heat input</t>
  </si>
  <si>
    <t>mmbtu/ton</t>
  </si>
  <si>
    <t>1,000 btu/gal</t>
  </si>
  <si>
    <t>lb/ton hot metal</t>
  </si>
  <si>
    <t>This amount is 41.6 tons less than in the NEI. It was found during QC that a safety factor was added to the test EF.</t>
  </si>
  <si>
    <t>Name of
Secondary Control</t>
  </si>
  <si>
    <t>inventory forms and data base.</t>
  </si>
  <si>
    <t xml:space="preserve">Emissions for 11096 is 6.47 tons larger than in NEI.  The incorrect amount from the source's calculation sheet was put into the </t>
  </si>
  <si>
    <t>Name of
Primary Control</t>
  </si>
  <si>
    <t xml:space="preserve">
Name of
Primary Control</t>
  </si>
  <si>
    <t>hr/yr</t>
  </si>
  <si>
    <t xml:space="preserve">1 MSCF H2S x (Mole HxS/0.3793 MSCF HxS) x 1 mole SO2/1 mole H2S x 64.0628 lb Sox/1 Mole SO2= 168.897 lbs. </t>
  </si>
  <si>
    <t>1000 btu/gal</t>
  </si>
  <si>
    <t>*Sox Fuel oil EF  = 157S lbs/1000 gals = 0.235.5</t>
  </si>
  <si>
    <t>limestone-coal</t>
  </si>
  <si>
    <t>100 gal/year)/42 gal/BBL = 2.38 BBLs</t>
  </si>
  <si>
    <t>5,900,000 btu/BBL x 2.38 BBL = 14.47619 mmBTUs</t>
  </si>
  <si>
    <t>14.047619 mmBTUs x .29 lbs/mmBTUs / 2000 lbs/ton = .00204 tons</t>
  </si>
  <si>
    <t>38S lbs/ton of coal x 7,153 tons of coal  / 2000 = 66.6  (S = .49)</t>
  </si>
  <si>
    <t>38S lbs/ton of coal x 1,431 tons of coal  / 2000 =13.32 (S=.49)</t>
  </si>
  <si>
    <t>38S lbs/ton of coal x 5722 tons of coal / 2000 = 53.27 (S=.49)</t>
  </si>
  <si>
    <t>162.7S lbs/1000 gals of oil x 56000 gallons oil / 1000  / 2000 =  1.09 (S=.24)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</si>
</sst>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_)"/>
    <numFmt numFmtId="168" formatCode="0.000000"/>
    <numFmt numFmtId="169" formatCode="0.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27" applyFont="1" applyFill="1" applyBorder="1" applyAlignment="1">
      <alignment horizontal="right"/>
      <protection/>
    </xf>
    <xf numFmtId="0" fontId="5" fillId="0" borderId="3" xfId="27" applyFont="1" applyFill="1" applyBorder="1" applyAlignment="1">
      <alignment horizontal="left"/>
      <protection/>
    </xf>
    <xf numFmtId="4" fontId="5" fillId="0" borderId="3" xfId="27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2" fontId="5" fillId="0" borderId="3" xfId="27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5" fillId="0" borderId="3" xfId="28" applyFont="1" applyFill="1" applyBorder="1" applyAlignment="1">
      <alignment horizontal="right" wrapText="1"/>
      <protection/>
    </xf>
    <xf numFmtId="0" fontId="5" fillId="0" borderId="3" xfId="28" applyFont="1" applyFill="1" applyBorder="1" applyAlignment="1">
      <alignment horizontal="left" wrapText="1"/>
      <protection/>
    </xf>
    <xf numFmtId="0" fontId="5" fillId="0" borderId="3" xfId="28" applyFont="1" applyFill="1" applyBorder="1" applyAlignment="1">
      <alignment horizontal="left"/>
      <protection/>
    </xf>
    <xf numFmtId="0" fontId="5" fillId="0" borderId="0" xfId="28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5" fillId="0" borderId="3" xfId="30" applyFont="1" applyFill="1" applyBorder="1" applyAlignment="1">
      <alignment horizontal="right"/>
      <protection/>
    </xf>
    <xf numFmtId="0" fontId="5" fillId="0" borderId="3" xfId="30" applyFont="1" applyFill="1" applyBorder="1" applyAlignment="1">
      <alignment horizontal="left"/>
      <protection/>
    </xf>
    <xf numFmtId="0" fontId="5" fillId="0" borderId="0" xfId="30" applyFont="1" applyFill="1" applyBorder="1" applyAlignment="1">
      <alignment horizontal="left"/>
      <protection/>
    </xf>
    <xf numFmtId="2" fontId="0" fillId="0" borderId="0" xfId="0" applyNumberFormat="1" applyAlignment="1">
      <alignment/>
    </xf>
    <xf numFmtId="0" fontId="5" fillId="0" borderId="3" xfId="27" applyFont="1" applyFill="1" applyBorder="1" applyAlignment="1">
      <alignment horizontal="right" wrapText="1"/>
      <protection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3" xfId="29" applyFont="1" applyFill="1" applyBorder="1" applyAlignment="1">
      <alignment horizontal="right"/>
      <protection/>
    </xf>
    <xf numFmtId="0" fontId="5" fillId="0" borderId="3" xfId="29" applyFont="1" applyFill="1" applyBorder="1" applyAlignment="1">
      <alignment horizontal="left"/>
      <protection/>
    </xf>
    <xf numFmtId="10" fontId="0" fillId="0" borderId="0" xfId="0" applyNumberFormat="1" applyAlignment="1">
      <alignment/>
    </xf>
    <xf numFmtId="0" fontId="5" fillId="0" borderId="3" xfId="19" applyFont="1" applyFill="1" applyBorder="1" applyAlignment="1">
      <alignment horizontal="right" wrapText="1"/>
      <protection/>
    </xf>
    <xf numFmtId="0" fontId="5" fillId="0" borderId="3" xfId="19" applyFont="1" applyFill="1" applyBorder="1" applyAlignment="1">
      <alignment horizontal="left"/>
      <protection/>
    </xf>
    <xf numFmtId="2" fontId="5" fillId="0" borderId="3" xfId="20" applyNumberFormat="1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5" fillId="0" borderId="3" xfId="29" applyFont="1" applyFill="1" applyBorder="1" applyAlignment="1">
      <alignment horizontal="right" wrapText="1"/>
      <protection/>
    </xf>
    <xf numFmtId="0" fontId="5" fillId="0" borderId="3" xfId="24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5" fillId="0" borderId="3" xfId="29" applyNumberFormat="1" applyFont="1" applyFill="1" applyBorder="1" applyAlignment="1">
      <alignment horizontal="right"/>
      <protection/>
    </xf>
    <xf numFmtId="0" fontId="5" fillId="0" borderId="3" xfId="29" applyNumberFormat="1" applyFont="1" applyFill="1" applyBorder="1" applyAlignment="1">
      <alignment horizontal="left"/>
      <protection/>
    </xf>
    <xf numFmtId="49" fontId="0" fillId="0" borderId="0" xfId="0" applyNumberFormat="1" applyAlignment="1">
      <alignment/>
    </xf>
    <xf numFmtId="0" fontId="5" fillId="0" borderId="3" xfId="31" applyFont="1" applyFill="1" applyBorder="1" applyAlignment="1">
      <alignment horizontal="right"/>
      <protection/>
    </xf>
    <xf numFmtId="0" fontId="5" fillId="0" borderId="3" xfId="31" applyFont="1" applyFill="1" applyBorder="1" applyAlignment="1">
      <alignment horizontal="left"/>
      <protection/>
    </xf>
    <xf numFmtId="0" fontId="5" fillId="0" borderId="3" xfId="23" applyFont="1" applyFill="1" applyBorder="1" applyAlignment="1">
      <alignment horizontal="right"/>
      <protection/>
    </xf>
    <xf numFmtId="0" fontId="5" fillId="0" borderId="3" xfId="23" applyFont="1" applyFill="1" applyBorder="1" applyAlignment="1">
      <alignment horizontal="left"/>
      <protection/>
    </xf>
    <xf numFmtId="0" fontId="5" fillId="0" borderId="3" xfId="21" applyFont="1" applyFill="1" applyBorder="1" applyAlignment="1">
      <alignment horizontal="right"/>
      <protection/>
    </xf>
    <xf numFmtId="0" fontId="5" fillId="0" borderId="3" xfId="21" applyFont="1" applyFill="1" applyBorder="1" applyAlignment="1">
      <alignment horizontal="left"/>
      <protection/>
    </xf>
    <xf numFmtId="0" fontId="5" fillId="0" borderId="3" xfId="32" applyFont="1" applyFill="1" applyBorder="1" applyAlignment="1">
      <alignment horizontal="right"/>
      <protection/>
    </xf>
    <xf numFmtId="0" fontId="5" fillId="0" borderId="3" xfId="32" applyFont="1" applyFill="1" applyBorder="1" applyAlignment="1">
      <alignment horizontal="left"/>
      <protection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27" applyFont="1" applyFill="1" applyBorder="1" applyAlignment="1">
      <alignment horizontal="left"/>
      <protection/>
    </xf>
    <xf numFmtId="0" fontId="5" fillId="0" borderId="0" xfId="27" applyFont="1" applyFill="1" applyBorder="1" applyAlignment="1">
      <alignment horizontal="right"/>
      <protection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28" applyFont="1" applyFill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1" xfId="28" applyFont="1" applyFill="1" applyBorder="1" applyAlignment="1">
      <alignment horizontal="left"/>
      <protection/>
    </xf>
    <xf numFmtId="0" fontId="5" fillId="0" borderId="1" xfId="28" applyFont="1" applyFill="1" applyBorder="1" applyAlignment="1">
      <alignment horizontal="right"/>
      <protection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 vertical="top"/>
    </xf>
    <xf numFmtId="2" fontId="5" fillId="0" borderId="1" xfId="28" applyNumberFormat="1" applyFont="1" applyFill="1" applyBorder="1" applyAlignment="1">
      <alignment horizontal="right"/>
      <protection/>
    </xf>
    <xf numFmtId="0" fontId="5" fillId="0" borderId="1" xfId="28" applyFont="1" applyFill="1" applyBorder="1" applyAlignment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5" fillId="0" borderId="7" xfId="28" applyFont="1" applyFill="1" applyBorder="1" applyAlignment="1">
      <alignment horizontal="right"/>
      <protection/>
    </xf>
    <xf numFmtId="0" fontId="5" fillId="0" borderId="7" xfId="28" applyFont="1" applyFill="1" applyBorder="1" applyAlignment="1">
      <alignment horizontal="left"/>
      <protection/>
    </xf>
    <xf numFmtId="0" fontId="5" fillId="0" borderId="7" xfId="28" applyFont="1" applyFill="1" applyBorder="1" applyAlignment="1">
      <alignment horizontal="right"/>
      <protection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2" fontId="5" fillId="0" borderId="7" xfId="28" applyNumberFormat="1" applyFont="1" applyFill="1" applyBorder="1" applyAlignment="1">
      <alignment horizontal="right"/>
      <protection/>
    </xf>
    <xf numFmtId="0" fontId="0" fillId="0" borderId="8" xfId="0" applyBorder="1" applyAlignment="1">
      <alignment/>
    </xf>
    <xf numFmtId="0" fontId="5" fillId="0" borderId="2" xfId="28" applyFont="1" applyFill="1" applyBorder="1" applyAlignment="1">
      <alignment horizontal="left"/>
      <protection/>
    </xf>
    <xf numFmtId="0" fontId="5" fillId="0" borderId="8" xfId="28" applyFont="1" applyFill="1" applyBorder="1" applyAlignment="1">
      <alignment horizontal="left"/>
      <protection/>
    </xf>
    <xf numFmtId="0" fontId="5" fillId="0" borderId="12" xfId="28" applyFont="1" applyFill="1" applyBorder="1" applyAlignment="1">
      <alignment horizontal="right"/>
      <protection/>
    </xf>
    <xf numFmtId="0" fontId="5" fillId="0" borderId="13" xfId="28" applyFont="1" applyFill="1" applyBorder="1" applyAlignment="1">
      <alignment horizontal="right"/>
      <protection/>
    </xf>
    <xf numFmtId="0" fontId="5" fillId="0" borderId="14" xfId="28" applyFont="1" applyFill="1" applyBorder="1" applyAlignment="1">
      <alignment horizontal="left"/>
      <protection/>
    </xf>
    <xf numFmtId="0" fontId="5" fillId="0" borderId="15" xfId="28" applyFont="1" applyFill="1" applyBorder="1" applyAlignment="1">
      <alignment horizontal="left"/>
      <protection/>
    </xf>
    <xf numFmtId="4" fontId="5" fillId="0" borderId="14" xfId="28" applyNumberFormat="1" applyFont="1" applyFill="1" applyBorder="1" applyAlignment="1">
      <alignment horizontal="right"/>
      <protection/>
    </xf>
    <xf numFmtId="0" fontId="5" fillId="0" borderId="0" xfId="30" applyFont="1" applyFill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5" fillId="0" borderId="1" xfId="30" applyFont="1" applyFill="1" applyBorder="1" applyAlignment="1">
      <alignment horizontal="left"/>
      <protection/>
    </xf>
    <xf numFmtId="0" fontId="5" fillId="0" borderId="1" xfId="30" applyFont="1" applyFill="1" applyBorder="1" applyAlignment="1">
      <alignment horizontal="right"/>
      <protection/>
    </xf>
    <xf numFmtId="0" fontId="5" fillId="0" borderId="16" xfId="30" applyFont="1" applyFill="1" applyBorder="1" applyAlignment="1">
      <alignment horizontal="left"/>
      <protection/>
    </xf>
    <xf numFmtId="0" fontId="5" fillId="0" borderId="1" xfId="30" applyFont="1" applyFill="1" applyBorder="1" applyAlignment="1">
      <alignment horizontal="left" wrapText="1"/>
      <protection/>
    </xf>
    <xf numFmtId="0" fontId="5" fillId="0" borderId="1" xfId="30" applyFont="1" applyFill="1" applyBorder="1" applyAlignment="1">
      <alignment horizontal="right" wrapText="1"/>
      <protection/>
    </xf>
    <xf numFmtId="0" fontId="5" fillId="0" borderId="2" xfId="30" applyFont="1" applyFill="1" applyBorder="1" applyAlignment="1">
      <alignment horizontal="left"/>
      <protection/>
    </xf>
    <xf numFmtId="0" fontId="5" fillId="0" borderId="7" xfId="30" applyFont="1" applyFill="1" applyBorder="1" applyAlignment="1">
      <alignment horizontal="left"/>
      <protection/>
    </xf>
    <xf numFmtId="0" fontId="5" fillId="0" borderId="7" xfId="30" applyFont="1" applyFill="1" applyBorder="1" applyAlignment="1">
      <alignment horizontal="right"/>
      <protection/>
    </xf>
    <xf numFmtId="0" fontId="5" fillId="0" borderId="17" xfId="30" applyFont="1" applyFill="1" applyBorder="1" applyAlignment="1">
      <alignment horizontal="left"/>
      <protection/>
    </xf>
    <xf numFmtId="0" fontId="5" fillId="0" borderId="8" xfId="30" applyFont="1" applyFill="1" applyBorder="1" applyAlignment="1">
      <alignment horizontal="left"/>
      <protection/>
    </xf>
    <xf numFmtId="0" fontId="5" fillId="0" borderId="14" xfId="30" applyFont="1" applyFill="1" applyBorder="1" applyAlignment="1">
      <alignment horizontal="left"/>
      <protection/>
    </xf>
    <xf numFmtId="0" fontId="5" fillId="0" borderId="15" xfId="30" applyFont="1" applyFill="1" applyBorder="1" applyAlignment="1">
      <alignment horizontal="left"/>
      <protection/>
    </xf>
    <xf numFmtId="0" fontId="5" fillId="0" borderId="12" xfId="30" applyFont="1" applyFill="1" applyBorder="1" applyAlignment="1">
      <alignment horizontal="right"/>
      <protection/>
    </xf>
    <xf numFmtId="0" fontId="5" fillId="0" borderId="13" xfId="30" applyFont="1" applyFill="1" applyBorder="1" applyAlignment="1">
      <alignment horizontal="right"/>
      <protection/>
    </xf>
    <xf numFmtId="0" fontId="1" fillId="0" borderId="12" xfId="0" applyFont="1" applyBorder="1" applyAlignment="1">
      <alignment horizontal="center" vertical="top" wrapText="1"/>
    </xf>
    <xf numFmtId="2" fontId="5" fillId="0" borderId="2" xfId="30" applyNumberFormat="1" applyFont="1" applyFill="1" applyBorder="1" applyAlignment="1">
      <alignment horizontal="right"/>
      <protection/>
    </xf>
    <xf numFmtId="2" fontId="5" fillId="0" borderId="8" xfId="30" applyNumberFormat="1" applyFont="1" applyFill="1" applyBorder="1" applyAlignment="1">
      <alignment horizontal="right"/>
      <protection/>
    </xf>
    <xf numFmtId="2" fontId="0" fillId="0" borderId="0" xfId="0" applyNumberFormat="1" applyBorder="1" applyAlignment="1">
      <alignment/>
    </xf>
    <xf numFmtId="0" fontId="5" fillId="0" borderId="0" xfId="27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29" applyFont="1" applyFill="1" applyBorder="1" applyAlignment="1">
      <alignment horizontal="right"/>
      <protection/>
    </xf>
    <xf numFmtId="0" fontId="5" fillId="0" borderId="1" xfId="27" applyFont="1" applyFill="1" applyBorder="1" applyAlignment="1">
      <alignment horizontal="left" wrapText="1"/>
      <protection/>
    </xf>
    <xf numFmtId="0" fontId="5" fillId="0" borderId="1" xfId="27" applyFont="1" applyFill="1" applyBorder="1" applyAlignment="1">
      <alignment horizontal="right" wrapText="1"/>
      <protection/>
    </xf>
    <xf numFmtId="2" fontId="5" fillId="0" borderId="1" xfId="27" applyNumberFormat="1" applyFont="1" applyFill="1" applyBorder="1" applyAlignment="1">
      <alignment horizontal="right" wrapText="1"/>
      <protection/>
    </xf>
    <xf numFmtId="0" fontId="5" fillId="0" borderId="1" xfId="27" applyFont="1" applyFill="1" applyBorder="1" applyAlignment="1">
      <alignment horizontal="right"/>
      <protection/>
    </xf>
    <xf numFmtId="169" fontId="5" fillId="0" borderId="1" xfId="27" applyNumberFormat="1" applyFont="1" applyFill="1" applyBorder="1" applyAlignment="1">
      <alignment horizontal="right" vertical="center" wrapText="1"/>
      <protection/>
    </xf>
    <xf numFmtId="0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5" fontId="5" fillId="0" borderId="1" xfId="27" applyNumberFormat="1" applyFont="1" applyFill="1" applyBorder="1" applyAlignment="1">
      <alignment horizontal="right" wrapText="1"/>
      <protection/>
    </xf>
    <xf numFmtId="0" fontId="5" fillId="0" borderId="1" xfId="27" applyFont="1" applyFill="1" applyBorder="1" applyAlignment="1">
      <alignment horizontal="left"/>
      <protection/>
    </xf>
    <xf numFmtId="2" fontId="0" fillId="0" borderId="1" xfId="0" applyNumberFormat="1" applyFont="1" applyFill="1" applyBorder="1" applyAlignment="1">
      <alignment horizontal="center"/>
    </xf>
    <xf numFmtId="0" fontId="5" fillId="0" borderId="1" xfId="29" applyFont="1" applyFill="1" applyBorder="1" applyAlignment="1">
      <alignment horizontal="left"/>
      <protection/>
    </xf>
    <xf numFmtId="0" fontId="5" fillId="0" borderId="1" xfId="29" applyFont="1" applyFill="1" applyBorder="1" applyAlignment="1">
      <alignment horizontal="right"/>
      <protection/>
    </xf>
    <xf numFmtId="169" fontId="5" fillId="0" borderId="1" xfId="29" applyNumberFormat="1" applyFont="1" applyFill="1" applyBorder="1" applyAlignment="1">
      <alignment horizontal="right" vertical="center"/>
      <protection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5" fillId="0" borderId="2" xfId="27" applyFont="1" applyFill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5" fillId="0" borderId="7" xfId="29" applyFont="1" applyFill="1" applyBorder="1" applyAlignment="1">
      <alignment horizontal="right"/>
      <protection/>
    </xf>
    <xf numFmtId="0" fontId="5" fillId="0" borderId="7" xfId="29" applyFont="1" applyFill="1" applyBorder="1" applyAlignment="1">
      <alignment horizontal="left"/>
      <protection/>
    </xf>
    <xf numFmtId="169" fontId="5" fillId="0" borderId="7" xfId="29" applyNumberFormat="1" applyFont="1" applyFill="1" applyBorder="1" applyAlignment="1">
      <alignment horizontal="right" vertical="center"/>
      <protection/>
    </xf>
    <xf numFmtId="0" fontId="5" fillId="0" borderId="8" xfId="27" applyFont="1" applyFill="1" applyBorder="1" applyAlignment="1">
      <alignment horizontal="left"/>
      <protection/>
    </xf>
    <xf numFmtId="0" fontId="5" fillId="0" borderId="14" xfId="27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/>
    </xf>
    <xf numFmtId="0" fontId="5" fillId="0" borderId="14" xfId="29" applyFont="1" applyFill="1" applyBorder="1" applyAlignment="1">
      <alignment horizontal="left"/>
      <protection/>
    </xf>
    <xf numFmtId="0" fontId="5" fillId="0" borderId="15" xfId="29" applyFont="1" applyFill="1" applyBorder="1" applyAlignment="1">
      <alignment horizontal="left"/>
      <protection/>
    </xf>
    <xf numFmtId="0" fontId="5" fillId="0" borderId="2" xfId="27" applyFont="1" applyFill="1" applyBorder="1" applyAlignment="1">
      <alignment horizontal="right" wrapText="1"/>
      <protection/>
    </xf>
    <xf numFmtId="0" fontId="0" fillId="0" borderId="2" xfId="0" applyNumberFormat="1" applyFont="1" applyFill="1" applyBorder="1" applyAlignment="1">
      <alignment horizontal="right"/>
    </xf>
    <xf numFmtId="0" fontId="5" fillId="0" borderId="2" xfId="27" applyFont="1" applyFill="1" applyBorder="1" applyAlignment="1">
      <alignment horizontal="right"/>
      <protection/>
    </xf>
    <xf numFmtId="0" fontId="5" fillId="0" borderId="12" xfId="29" applyFont="1" applyFill="1" applyBorder="1" applyAlignment="1">
      <alignment horizontal="right"/>
      <protection/>
    </xf>
    <xf numFmtId="0" fontId="5" fillId="0" borderId="2" xfId="29" applyFont="1" applyFill="1" applyBorder="1" applyAlignment="1">
      <alignment horizontal="right"/>
      <protection/>
    </xf>
    <xf numFmtId="0" fontId="5" fillId="0" borderId="13" xfId="29" applyFont="1" applyFill="1" applyBorder="1" applyAlignment="1">
      <alignment horizontal="right"/>
      <protection/>
    </xf>
    <xf numFmtId="0" fontId="5" fillId="0" borderId="8" xfId="29" applyFont="1" applyFill="1" applyBorder="1" applyAlignment="1">
      <alignment horizontal="right"/>
      <protection/>
    </xf>
    <xf numFmtId="0" fontId="1" fillId="0" borderId="12" xfId="0" applyFont="1" applyBorder="1" applyAlignment="1">
      <alignment horizontal="center" wrapText="1"/>
    </xf>
    <xf numFmtId="2" fontId="5" fillId="0" borderId="12" xfId="27" applyNumberFormat="1" applyFont="1" applyFill="1" applyBorder="1" applyAlignment="1">
      <alignment horizontal="right" wrapText="1"/>
      <protection/>
    </xf>
    <xf numFmtId="2" fontId="0" fillId="0" borderId="12" xfId="0" applyNumberFormat="1" applyFont="1" applyFill="1" applyBorder="1" applyAlignment="1">
      <alignment horizontal="right"/>
    </xf>
    <xf numFmtId="2" fontId="5" fillId="0" borderId="13" xfId="27" applyNumberFormat="1" applyFont="1" applyFill="1" applyBorder="1" applyAlignment="1">
      <alignment horizontal="right" wrapText="1"/>
      <protection/>
    </xf>
    <xf numFmtId="0" fontId="5" fillId="0" borderId="12" xfId="27" applyFont="1" applyFill="1" applyBorder="1" applyAlignment="1">
      <alignment wrapText="1"/>
      <protection/>
    </xf>
    <xf numFmtId="2" fontId="5" fillId="0" borderId="2" xfId="27" applyNumberFormat="1" applyFont="1" applyFill="1" applyBorder="1" applyAlignment="1">
      <alignment horizontal="right" wrapText="1"/>
      <protection/>
    </xf>
    <xf numFmtId="0" fontId="0" fillId="0" borderId="1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 horizontal="right"/>
    </xf>
    <xf numFmtId="0" fontId="5" fillId="0" borderId="12" xfId="29" applyFont="1" applyFill="1" applyBorder="1" applyAlignment="1">
      <alignment/>
      <protection/>
    </xf>
    <xf numFmtId="0" fontId="5" fillId="0" borderId="13" xfId="29" applyFont="1" applyFill="1" applyBorder="1" applyAlignment="1">
      <alignment/>
      <protection/>
    </xf>
    <xf numFmtId="2" fontId="5" fillId="0" borderId="8" xfId="27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5" fillId="0" borderId="1" xfId="27" applyNumberFormat="1" applyFont="1" applyFill="1" applyBorder="1" applyAlignment="1">
      <alignment horizontal="right"/>
      <protection/>
    </xf>
    <xf numFmtId="10" fontId="5" fillId="0" borderId="1" xfId="27" applyNumberFormat="1" applyFont="1" applyFill="1" applyBorder="1" applyAlignment="1">
      <alignment horizontal="right"/>
      <protection/>
    </xf>
    <xf numFmtId="0" fontId="5" fillId="0" borderId="7" xfId="27" applyFont="1" applyFill="1" applyBorder="1" applyAlignment="1">
      <alignment horizontal="right"/>
      <protection/>
    </xf>
    <xf numFmtId="0" fontId="5" fillId="0" borderId="7" xfId="27" applyFont="1" applyFill="1" applyBorder="1" applyAlignment="1">
      <alignment horizontal="left"/>
      <protection/>
    </xf>
    <xf numFmtId="0" fontId="0" fillId="0" borderId="7" xfId="0" applyBorder="1" applyAlignment="1">
      <alignment/>
    </xf>
    <xf numFmtId="2" fontId="5" fillId="0" borderId="7" xfId="27" applyNumberFormat="1" applyFont="1" applyFill="1" applyBorder="1" applyAlignment="1">
      <alignment horizontal="right"/>
      <protection/>
    </xf>
    <xf numFmtId="0" fontId="5" fillId="0" borderId="14" xfId="27" applyFont="1" applyFill="1" applyBorder="1" applyAlignment="1">
      <alignment horizontal="left"/>
      <protection/>
    </xf>
    <xf numFmtId="0" fontId="5" fillId="0" borderId="15" xfId="27" applyFont="1" applyFill="1" applyBorder="1" applyAlignment="1">
      <alignment horizontal="left"/>
      <protection/>
    </xf>
    <xf numFmtId="0" fontId="5" fillId="0" borderId="10" xfId="27" applyFont="1" applyFill="1" applyBorder="1" applyAlignment="1">
      <alignment horizontal="right"/>
      <protection/>
    </xf>
    <xf numFmtId="0" fontId="5" fillId="0" borderId="9" xfId="27" applyFont="1" applyFill="1" applyBorder="1" applyAlignment="1">
      <alignment horizontal="right"/>
      <protection/>
    </xf>
    <xf numFmtId="0" fontId="5" fillId="0" borderId="12" xfId="27" applyFont="1" applyFill="1" applyBorder="1" applyAlignment="1">
      <alignment horizontal="right"/>
      <protection/>
    </xf>
    <xf numFmtId="0" fontId="5" fillId="0" borderId="13" xfId="27" applyFont="1" applyFill="1" applyBorder="1" applyAlignment="1">
      <alignment horizontal="right"/>
      <protection/>
    </xf>
    <xf numFmtId="0" fontId="5" fillId="0" borderId="8" xfId="27" applyFont="1" applyFill="1" applyBorder="1" applyAlignment="1">
      <alignment horizontal="right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right"/>
      <protection/>
    </xf>
    <xf numFmtId="165" fontId="0" fillId="0" borderId="0" xfId="0" applyNumberFormat="1" applyBorder="1" applyAlignment="1">
      <alignment/>
    </xf>
    <xf numFmtId="0" fontId="5" fillId="0" borderId="1" xfId="19" applyFont="1" applyFill="1" applyBorder="1" applyAlignment="1">
      <alignment horizontal="left"/>
      <protection/>
    </xf>
    <xf numFmtId="0" fontId="5" fillId="0" borderId="1" xfId="19" applyFont="1" applyFill="1" applyBorder="1" applyAlignment="1">
      <alignment horizontal="right"/>
      <protection/>
    </xf>
    <xf numFmtId="165" fontId="5" fillId="0" borderId="1" xfId="19" applyNumberFormat="1" applyFont="1" applyFill="1" applyBorder="1" applyAlignment="1">
      <alignment horizontal="right"/>
      <protection/>
    </xf>
    <xf numFmtId="0" fontId="5" fillId="0" borderId="1" xfId="19" applyFont="1" applyFill="1" applyBorder="1" applyAlignment="1">
      <alignment horizontal="left" wrapText="1"/>
      <protection/>
    </xf>
    <xf numFmtId="2" fontId="5" fillId="0" borderId="18" xfId="20" applyNumberFormat="1" applyFont="1" applyFill="1" applyBorder="1" applyAlignment="1">
      <alignment horizontal="right"/>
      <protection/>
    </xf>
    <xf numFmtId="0" fontId="5" fillId="0" borderId="18" xfId="20" applyFont="1" applyFill="1" applyBorder="1" applyAlignment="1">
      <alignment horizontal="left"/>
      <protection/>
    </xf>
    <xf numFmtId="2" fontId="5" fillId="0" borderId="1" xfId="20" applyNumberFormat="1" applyFont="1" applyFill="1" applyBorder="1" applyAlignment="1">
      <alignment horizontal="left"/>
      <protection/>
    </xf>
    <xf numFmtId="0" fontId="5" fillId="0" borderId="1" xfId="20" applyNumberFormat="1" applyFont="1" applyFill="1" applyBorder="1" applyAlignment="1">
      <alignment horizontal="right"/>
      <protection/>
    </xf>
    <xf numFmtId="2" fontId="5" fillId="0" borderId="1" xfId="20" applyNumberFormat="1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1" xfId="20" applyNumberFormat="1" applyFont="1" applyFill="1" applyBorder="1" applyAlignment="1">
      <alignment horizontal="left"/>
      <protection/>
    </xf>
    <xf numFmtId="10" fontId="5" fillId="0" borderId="1" xfId="20" applyNumberFormat="1" applyFont="1" applyFill="1" applyBorder="1" applyAlignment="1">
      <alignment horizontal="left"/>
      <protection/>
    </xf>
    <xf numFmtId="10" fontId="5" fillId="0" borderId="1" xfId="20" applyNumberFormat="1" applyFont="1" applyFill="1" applyBorder="1" applyAlignment="1">
      <alignment horizontal="right"/>
      <protection/>
    </xf>
    <xf numFmtId="168" fontId="5" fillId="0" borderId="1" xfId="20" applyNumberFormat="1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right" wrapText="1"/>
      <protection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5" fillId="0" borderId="20" xfId="20" applyNumberFormat="1" applyFont="1" applyFill="1" applyBorder="1" applyAlignment="1">
      <alignment horizontal="left"/>
      <protection/>
    </xf>
    <xf numFmtId="0" fontId="5" fillId="0" borderId="11" xfId="20" applyNumberFormat="1" applyFont="1" applyFill="1" applyBorder="1" applyAlignment="1">
      <alignment horizontal="right"/>
      <protection/>
    </xf>
    <xf numFmtId="2" fontId="5" fillId="0" borderId="11" xfId="20" applyNumberFormat="1" applyFont="1" applyFill="1" applyBorder="1" applyAlignment="1">
      <alignment horizontal="left"/>
      <protection/>
    </xf>
    <xf numFmtId="2" fontId="5" fillId="0" borderId="11" xfId="20" applyNumberFormat="1" applyFont="1" applyFill="1" applyBorder="1" applyAlignment="1">
      <alignment horizontal="right"/>
      <protection/>
    </xf>
    <xf numFmtId="0" fontId="5" fillId="0" borderId="11" xfId="20" applyFont="1" applyFill="1" applyBorder="1" applyAlignment="1">
      <alignment horizontal="right"/>
      <protection/>
    </xf>
    <xf numFmtId="0" fontId="5" fillId="0" borderId="11" xfId="20" applyFont="1" applyFill="1" applyBorder="1" applyAlignment="1">
      <alignment horizontal="left"/>
      <protection/>
    </xf>
    <xf numFmtId="0" fontId="5" fillId="0" borderId="11" xfId="20" applyNumberFormat="1" applyFont="1" applyFill="1" applyBorder="1" applyAlignment="1">
      <alignment horizontal="left"/>
      <protection/>
    </xf>
    <xf numFmtId="10" fontId="5" fillId="0" borderId="11" xfId="20" applyNumberFormat="1" applyFont="1" applyFill="1" applyBorder="1" applyAlignment="1">
      <alignment horizontal="left"/>
      <protection/>
    </xf>
    <xf numFmtId="10" fontId="5" fillId="0" borderId="11" xfId="20" applyNumberFormat="1" applyFont="1" applyFill="1" applyBorder="1" applyAlignment="1">
      <alignment horizontal="right"/>
      <protection/>
    </xf>
    <xf numFmtId="2" fontId="5" fillId="0" borderId="21" xfId="20" applyNumberFormat="1" applyFont="1" applyFill="1" applyBorder="1" applyAlignment="1">
      <alignment horizontal="left"/>
      <protection/>
    </xf>
    <xf numFmtId="2" fontId="5" fillId="0" borderId="12" xfId="20" applyNumberFormat="1" applyFont="1" applyFill="1" applyBorder="1" applyAlignment="1">
      <alignment horizontal="left"/>
      <protection/>
    </xf>
    <xf numFmtId="2" fontId="5" fillId="0" borderId="2" xfId="20" applyNumberFormat="1" applyFont="1" applyFill="1" applyBorder="1" applyAlignment="1">
      <alignment horizontal="left"/>
      <protection/>
    </xf>
    <xf numFmtId="2" fontId="5" fillId="0" borderId="13" xfId="20" applyNumberFormat="1" applyFont="1" applyFill="1" applyBorder="1" applyAlignment="1">
      <alignment horizontal="left"/>
      <protection/>
    </xf>
    <xf numFmtId="0" fontId="5" fillId="0" borderId="7" xfId="20" applyNumberFormat="1" applyFont="1" applyFill="1" applyBorder="1" applyAlignment="1">
      <alignment horizontal="right"/>
      <protection/>
    </xf>
    <xf numFmtId="2" fontId="5" fillId="0" borderId="7" xfId="20" applyNumberFormat="1" applyFont="1" applyFill="1" applyBorder="1" applyAlignment="1">
      <alignment horizontal="left"/>
      <protection/>
    </xf>
    <xf numFmtId="2" fontId="5" fillId="0" borderId="7" xfId="20" applyNumberFormat="1" applyFont="1" applyFill="1" applyBorder="1" applyAlignment="1">
      <alignment horizontal="right"/>
      <protection/>
    </xf>
    <xf numFmtId="0" fontId="5" fillId="0" borderId="7" xfId="20" applyFont="1" applyFill="1" applyBorder="1" applyAlignment="1">
      <alignment horizontal="right"/>
      <protection/>
    </xf>
    <xf numFmtId="0" fontId="5" fillId="0" borderId="7" xfId="20" applyFont="1" applyFill="1" applyBorder="1" applyAlignment="1">
      <alignment horizontal="left"/>
      <protection/>
    </xf>
    <xf numFmtId="0" fontId="5" fillId="0" borderId="7" xfId="20" applyNumberFormat="1" applyFont="1" applyFill="1" applyBorder="1" applyAlignment="1">
      <alignment horizontal="left"/>
      <protection/>
    </xf>
    <xf numFmtId="10" fontId="5" fillId="0" borderId="7" xfId="20" applyNumberFormat="1" applyFont="1" applyFill="1" applyBorder="1" applyAlignment="1">
      <alignment horizontal="left"/>
      <protection/>
    </xf>
    <xf numFmtId="10" fontId="5" fillId="0" borderId="7" xfId="20" applyNumberFormat="1" applyFont="1" applyFill="1" applyBorder="1" applyAlignment="1">
      <alignment horizontal="right"/>
      <protection/>
    </xf>
    <xf numFmtId="2" fontId="5" fillId="0" borderId="8" xfId="20" applyNumberFormat="1" applyFont="1" applyFill="1" applyBorder="1" applyAlignment="1">
      <alignment horizontal="left"/>
      <protection/>
    </xf>
    <xf numFmtId="0" fontId="5" fillId="0" borderId="1" xfId="22" applyFont="1" applyFill="1" applyBorder="1" applyAlignment="1">
      <alignment horizontal="left"/>
      <protection/>
    </xf>
    <xf numFmtId="0" fontId="5" fillId="0" borderId="1" xfId="22" applyFont="1" applyFill="1" applyBorder="1" applyAlignment="1">
      <alignment horizontal="right"/>
      <protection/>
    </xf>
    <xf numFmtId="4" fontId="5" fillId="0" borderId="1" xfId="22" applyNumberFormat="1" applyFont="1" applyFill="1" applyBorder="1" applyAlignment="1">
      <alignment horizontal="right"/>
      <protection/>
    </xf>
    <xf numFmtId="0" fontId="1" fillId="0" borderId="7" xfId="0" applyFont="1" applyBorder="1" applyAlignment="1">
      <alignment horizontal="center" wrapText="1"/>
    </xf>
    <xf numFmtId="0" fontId="5" fillId="0" borderId="20" xfId="28" applyFont="1" applyFill="1" applyBorder="1" applyAlignment="1">
      <alignment horizontal="left"/>
      <protection/>
    </xf>
    <xf numFmtId="0" fontId="5" fillId="0" borderId="11" xfId="28" applyFont="1" applyFill="1" applyBorder="1" applyAlignment="1">
      <alignment horizontal="right"/>
      <protection/>
    </xf>
    <xf numFmtId="0" fontId="5" fillId="0" borderId="11" xfId="28" applyFont="1" applyFill="1" applyBorder="1" applyAlignment="1">
      <alignment horizontal="left"/>
      <protection/>
    </xf>
    <xf numFmtId="2" fontId="5" fillId="0" borderId="11" xfId="28" applyNumberFormat="1" applyFont="1" applyFill="1" applyBorder="1" applyAlignment="1">
      <alignment horizontal="right"/>
      <protection/>
    </xf>
    <xf numFmtId="0" fontId="5" fillId="0" borderId="21" xfId="28" applyFont="1" applyFill="1" applyBorder="1" applyAlignment="1">
      <alignment horizontal="left"/>
      <protection/>
    </xf>
    <xf numFmtId="0" fontId="5" fillId="0" borderId="12" xfId="28" applyFont="1" applyFill="1" applyBorder="1" applyAlignment="1">
      <alignment horizontal="left"/>
      <protection/>
    </xf>
    <xf numFmtId="0" fontId="5" fillId="0" borderId="13" xfId="28" applyFont="1" applyFill="1" applyBorder="1" applyAlignment="1">
      <alignment horizontal="left"/>
      <protection/>
    </xf>
    <xf numFmtId="0" fontId="0" fillId="0" borderId="7" xfId="0" applyBorder="1" applyAlignment="1">
      <alignment/>
    </xf>
    <xf numFmtId="0" fontId="5" fillId="0" borderId="7" xfId="22" applyFont="1" applyFill="1" applyBorder="1" applyAlignment="1">
      <alignment horizontal="left"/>
      <protection/>
    </xf>
    <xf numFmtId="0" fontId="5" fillId="0" borderId="7" xfId="22" applyFont="1" applyFill="1" applyBorder="1" applyAlignment="1">
      <alignment horizontal="right"/>
      <protection/>
    </xf>
    <xf numFmtId="4" fontId="5" fillId="0" borderId="7" xfId="22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28" applyFont="1" applyFill="1" applyBorder="1" applyAlignment="1">
      <alignment horizontal="left"/>
      <protection/>
    </xf>
    <xf numFmtId="0" fontId="5" fillId="0" borderId="1" xfId="24" applyFont="1" applyFill="1" applyBorder="1" applyAlignment="1">
      <alignment horizontal="right"/>
      <protection/>
    </xf>
    <xf numFmtId="0" fontId="5" fillId="0" borderId="1" xfId="24" applyFont="1" applyFill="1" applyBorder="1" applyAlignment="1">
      <alignment horizontal="left"/>
      <protection/>
    </xf>
    <xf numFmtId="2" fontId="5" fillId="0" borderId="1" xfId="24" applyNumberFormat="1" applyFont="1" applyFill="1" applyBorder="1" applyAlignment="1">
      <alignment horizontal="right"/>
      <protection/>
    </xf>
    <xf numFmtId="0" fontId="5" fillId="0" borderId="12" xfId="24" applyFont="1" applyFill="1" applyBorder="1" applyAlignment="1">
      <alignment horizontal="right"/>
      <protection/>
    </xf>
    <xf numFmtId="0" fontId="5" fillId="0" borderId="13" xfId="24" applyFont="1" applyFill="1" applyBorder="1" applyAlignment="1">
      <alignment horizontal="right"/>
      <protection/>
    </xf>
    <xf numFmtId="0" fontId="5" fillId="0" borderId="7" xfId="24" applyFont="1" applyFill="1" applyBorder="1" applyAlignment="1">
      <alignment horizontal="left"/>
      <protection/>
    </xf>
    <xf numFmtId="0" fontId="5" fillId="0" borderId="7" xfId="24" applyFont="1" applyFill="1" applyBorder="1" applyAlignment="1">
      <alignment horizontal="right"/>
      <protection/>
    </xf>
    <xf numFmtId="2" fontId="5" fillId="0" borderId="7" xfId="24" applyNumberFormat="1" applyFont="1" applyFill="1" applyBorder="1" applyAlignment="1">
      <alignment horizontal="right"/>
      <protection/>
    </xf>
    <xf numFmtId="0" fontId="0" fillId="0" borderId="8" xfId="0" applyBorder="1" applyAlignment="1">
      <alignment/>
    </xf>
    <xf numFmtId="0" fontId="5" fillId="0" borderId="22" xfId="24" applyFont="1" applyFill="1" applyBorder="1" applyAlignment="1">
      <alignment horizontal="right"/>
      <protection/>
    </xf>
    <xf numFmtId="0" fontId="5" fillId="0" borderId="20" xfId="24" applyFont="1" applyFill="1" applyBorder="1" applyAlignment="1">
      <alignment horizontal="right"/>
      <protection/>
    </xf>
    <xf numFmtId="0" fontId="5" fillId="0" borderId="11" xfId="24" applyFont="1" applyFill="1" applyBorder="1" applyAlignment="1">
      <alignment horizontal="left"/>
      <protection/>
    </xf>
    <xf numFmtId="0" fontId="5" fillId="0" borderId="11" xfId="24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5" fillId="0" borderId="14" xfId="24" applyFont="1" applyFill="1" applyBorder="1" applyAlignment="1">
      <alignment horizontal="right"/>
      <protection/>
    </xf>
    <xf numFmtId="0" fontId="5" fillId="0" borderId="15" xfId="24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2" xfId="24" applyFont="1" applyFill="1" applyBorder="1" applyAlignment="1">
      <alignment horizontal="right"/>
      <protection/>
    </xf>
    <xf numFmtId="0" fontId="5" fillId="0" borderId="8" xfId="24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1" fillId="0" borderId="5" xfId="0" applyFont="1" applyBorder="1" applyAlignment="1">
      <alignment horizontal="center" wrapText="1"/>
    </xf>
    <xf numFmtId="2" fontId="0" fillId="0" borderId="2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5" fontId="5" fillId="0" borderId="1" xfId="30" applyNumberFormat="1" applyFont="1" applyFill="1" applyBorder="1" applyAlignment="1">
      <alignment horizontal="right"/>
      <protection/>
    </xf>
    <xf numFmtId="0" fontId="5" fillId="0" borderId="11" xfId="30" applyFont="1" applyFill="1" applyBorder="1" applyAlignment="1">
      <alignment horizontal="right"/>
      <protection/>
    </xf>
    <xf numFmtId="0" fontId="5" fillId="0" borderId="11" xfId="30" applyFont="1" applyFill="1" applyBorder="1" applyAlignment="1">
      <alignment horizontal="left"/>
      <protection/>
    </xf>
    <xf numFmtId="165" fontId="5" fillId="0" borderId="11" xfId="30" applyNumberFormat="1" applyFont="1" applyFill="1" applyBorder="1" applyAlignment="1">
      <alignment horizontal="right"/>
      <protection/>
    </xf>
    <xf numFmtId="0" fontId="5" fillId="0" borderId="21" xfId="30" applyFont="1" applyFill="1" applyBorder="1" applyAlignment="1">
      <alignment horizontal="left"/>
      <protection/>
    </xf>
    <xf numFmtId="165" fontId="5" fillId="0" borderId="7" xfId="3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5" fillId="0" borderId="22" xfId="30" applyFont="1" applyFill="1" applyBorder="1" applyAlignment="1">
      <alignment horizontal="left"/>
      <protection/>
    </xf>
    <xf numFmtId="0" fontId="5" fillId="0" borderId="20" xfId="30" applyFont="1" applyFill="1" applyBorder="1" applyAlignment="1">
      <alignment horizontal="right"/>
      <protection/>
    </xf>
    <xf numFmtId="0" fontId="5" fillId="0" borderId="21" xfId="30" applyFont="1" applyFill="1" applyBorder="1" applyAlignment="1">
      <alignment horizontal="right"/>
      <protection/>
    </xf>
    <xf numFmtId="0" fontId="5" fillId="0" borderId="2" xfId="30" applyFont="1" applyFill="1" applyBorder="1" applyAlignment="1">
      <alignment horizontal="right"/>
      <protection/>
    </xf>
    <xf numFmtId="0" fontId="5" fillId="0" borderId="8" xfId="30" applyFont="1" applyFill="1" applyBorder="1" applyAlignment="1">
      <alignment horizontal="right"/>
      <protection/>
    </xf>
    <xf numFmtId="0" fontId="5" fillId="0" borderId="1" xfId="25" applyFont="1" applyFill="1" applyBorder="1" applyAlignment="1">
      <alignment horizontal="left"/>
      <protection/>
    </xf>
    <xf numFmtId="0" fontId="5" fillId="0" borderId="1" xfId="25" applyFont="1" applyFill="1" applyBorder="1" applyAlignment="1">
      <alignment horizontal="right"/>
      <protection/>
    </xf>
    <xf numFmtId="165" fontId="5" fillId="0" borderId="1" xfId="25" applyNumberFormat="1" applyFont="1" applyFill="1" applyBorder="1" applyAlignment="1">
      <alignment horizontal="right"/>
      <protection/>
    </xf>
    <xf numFmtId="0" fontId="5" fillId="0" borderId="20" xfId="25" applyFont="1" applyFill="1" applyBorder="1" applyAlignment="1">
      <alignment horizontal="left"/>
      <protection/>
    </xf>
    <xf numFmtId="0" fontId="5" fillId="0" borderId="11" xfId="25" applyFont="1" applyFill="1" applyBorder="1" applyAlignment="1">
      <alignment horizontal="right"/>
      <protection/>
    </xf>
    <xf numFmtId="0" fontId="5" fillId="0" borderId="11" xfId="25" applyFont="1" applyFill="1" applyBorder="1" applyAlignment="1">
      <alignment horizontal="left"/>
      <protection/>
    </xf>
    <xf numFmtId="165" fontId="5" fillId="0" borderId="11" xfId="25" applyNumberFormat="1" applyFont="1" applyFill="1" applyBorder="1" applyAlignment="1">
      <alignment horizontal="right"/>
      <protection/>
    </xf>
    <xf numFmtId="0" fontId="5" fillId="0" borderId="21" xfId="25" applyFont="1" applyFill="1" applyBorder="1" applyAlignment="1">
      <alignment horizontal="left"/>
      <protection/>
    </xf>
    <xf numFmtId="0" fontId="5" fillId="0" borderId="12" xfId="25" applyFont="1" applyFill="1" applyBorder="1" applyAlignment="1">
      <alignment horizontal="left"/>
      <protection/>
    </xf>
    <xf numFmtId="0" fontId="5" fillId="0" borderId="2" xfId="25" applyFont="1" applyFill="1" applyBorder="1" applyAlignment="1">
      <alignment horizontal="left"/>
      <protection/>
    </xf>
    <xf numFmtId="0" fontId="5" fillId="0" borderId="13" xfId="25" applyFont="1" applyFill="1" applyBorder="1" applyAlignment="1">
      <alignment horizontal="left"/>
      <protection/>
    </xf>
    <xf numFmtId="0" fontId="5" fillId="0" borderId="7" xfId="25" applyFont="1" applyFill="1" applyBorder="1" applyAlignment="1">
      <alignment horizontal="right"/>
      <protection/>
    </xf>
    <xf numFmtId="0" fontId="5" fillId="0" borderId="7" xfId="25" applyFont="1" applyFill="1" applyBorder="1" applyAlignment="1">
      <alignment horizontal="left"/>
      <protection/>
    </xf>
    <xf numFmtId="165" fontId="5" fillId="0" borderId="7" xfId="25" applyNumberFormat="1" applyFont="1" applyFill="1" applyBorder="1" applyAlignment="1">
      <alignment horizontal="right"/>
      <protection/>
    </xf>
    <xf numFmtId="0" fontId="5" fillId="0" borderId="8" xfId="25" applyFont="1" applyFill="1" applyBorder="1" applyAlignment="1">
      <alignment horizontal="left"/>
      <protection/>
    </xf>
    <xf numFmtId="0" fontId="5" fillId="0" borderId="1" xfId="29" applyNumberFormat="1" applyFont="1" applyFill="1" applyBorder="1" applyAlignment="1">
      <alignment horizontal="left"/>
      <protection/>
    </xf>
    <xf numFmtId="0" fontId="5" fillId="0" borderId="1" xfId="29" applyNumberFormat="1" applyFont="1" applyFill="1" applyBorder="1" applyAlignment="1">
      <alignment horizontal="right"/>
      <protection/>
    </xf>
    <xf numFmtId="165" fontId="5" fillId="0" borderId="1" xfId="29" applyNumberFormat="1" applyFont="1" applyFill="1" applyBorder="1" applyAlignment="1">
      <alignment horizontal="right"/>
      <protection/>
    </xf>
    <xf numFmtId="0" fontId="5" fillId="0" borderId="1" xfId="29" applyNumberFormat="1" applyFont="1" applyFill="1" applyBorder="1" applyAlignment="1">
      <alignment horizontal="right"/>
      <protection/>
    </xf>
    <xf numFmtId="49" fontId="5" fillId="0" borderId="1" xfId="29" applyNumberFormat="1" applyFont="1" applyFill="1" applyBorder="1" applyAlignment="1">
      <alignment horizontal="left"/>
      <protection/>
    </xf>
    <xf numFmtId="0" fontId="5" fillId="0" borderId="1" xfId="29" applyNumberFormat="1" applyFont="1" applyFill="1" applyBorder="1" applyAlignment="1">
      <alignment horizontal="left"/>
      <protection/>
    </xf>
    <xf numFmtId="0" fontId="5" fillId="0" borderId="1" xfId="26" applyFont="1" applyFill="1" applyBorder="1" applyAlignment="1">
      <alignment horizontal="left"/>
      <protection/>
    </xf>
    <xf numFmtId="165" fontId="5" fillId="0" borderId="1" xfId="29" applyNumberFormat="1" applyFont="1" applyFill="1" applyBorder="1" applyAlignment="1">
      <alignment horizontal="right"/>
      <protection/>
    </xf>
    <xf numFmtId="0" fontId="5" fillId="0" borderId="20" xfId="29" applyNumberFormat="1" applyFont="1" applyFill="1" applyBorder="1" applyAlignment="1">
      <alignment horizontal="left"/>
      <protection/>
    </xf>
    <xf numFmtId="0" fontId="5" fillId="0" borderId="11" xfId="29" applyNumberFormat="1" applyFont="1" applyFill="1" applyBorder="1" applyAlignment="1">
      <alignment horizontal="right"/>
      <protection/>
    </xf>
    <xf numFmtId="0" fontId="5" fillId="0" borderId="11" xfId="29" applyNumberFormat="1" applyFont="1" applyFill="1" applyBorder="1" applyAlignment="1">
      <alignment horizontal="left"/>
      <protection/>
    </xf>
    <xf numFmtId="165" fontId="5" fillId="0" borderId="11" xfId="29" applyNumberFormat="1" applyFont="1" applyFill="1" applyBorder="1" applyAlignment="1">
      <alignment horizontal="right"/>
      <protection/>
    </xf>
    <xf numFmtId="0" fontId="5" fillId="0" borderId="21" xfId="29" applyNumberFormat="1" applyFont="1" applyFill="1" applyBorder="1" applyAlignment="1">
      <alignment horizontal="left"/>
      <protection/>
    </xf>
    <xf numFmtId="0" fontId="5" fillId="0" borderId="12" xfId="29" applyNumberFormat="1" applyFont="1" applyFill="1" applyBorder="1" applyAlignment="1">
      <alignment horizontal="left"/>
      <protection/>
    </xf>
    <xf numFmtId="0" fontId="5" fillId="0" borderId="2" xfId="29" applyNumberFormat="1" applyFont="1" applyFill="1" applyBorder="1" applyAlignment="1">
      <alignment horizontal="left"/>
      <protection/>
    </xf>
    <xf numFmtId="0" fontId="5" fillId="0" borderId="12" xfId="29" applyNumberFormat="1" applyFont="1" applyFill="1" applyBorder="1" applyAlignment="1">
      <alignment horizontal="left"/>
      <protection/>
    </xf>
    <xf numFmtId="0" fontId="5" fillId="0" borderId="2" xfId="29" applyNumberFormat="1" applyFont="1" applyFill="1" applyBorder="1" applyAlignment="1">
      <alignment horizontal="left"/>
      <protection/>
    </xf>
    <xf numFmtId="0" fontId="5" fillId="0" borderId="13" xfId="29" applyNumberFormat="1" applyFont="1" applyFill="1" applyBorder="1" applyAlignment="1">
      <alignment horizontal="left"/>
      <protection/>
    </xf>
    <xf numFmtId="0" fontId="5" fillId="0" borderId="7" xfId="29" applyNumberFormat="1" applyFont="1" applyFill="1" applyBorder="1" applyAlignment="1">
      <alignment horizontal="right"/>
      <protection/>
    </xf>
    <xf numFmtId="0" fontId="5" fillId="0" borderId="7" xfId="29" applyNumberFormat="1" applyFont="1" applyFill="1" applyBorder="1" applyAlignment="1">
      <alignment horizontal="left"/>
      <protection/>
    </xf>
    <xf numFmtId="165" fontId="5" fillId="0" borderId="7" xfId="29" applyNumberFormat="1" applyFont="1" applyFill="1" applyBorder="1" applyAlignment="1">
      <alignment horizontal="right"/>
      <protection/>
    </xf>
    <xf numFmtId="0" fontId="5" fillId="0" borderId="8" xfId="29" applyNumberFormat="1" applyFont="1" applyFill="1" applyBorder="1" applyAlignment="1">
      <alignment horizontal="left"/>
      <protection/>
    </xf>
    <xf numFmtId="0" fontId="5" fillId="0" borderId="20" xfId="29" applyNumberFormat="1" applyFont="1" applyFill="1" applyBorder="1" applyAlignment="1">
      <alignment horizontal="right"/>
      <protection/>
    </xf>
    <xf numFmtId="0" fontId="5" fillId="0" borderId="12" xfId="29" applyNumberFormat="1" applyFont="1" applyFill="1" applyBorder="1" applyAlignment="1">
      <alignment horizontal="right"/>
      <protection/>
    </xf>
    <xf numFmtId="0" fontId="5" fillId="0" borderId="12" xfId="29" applyNumberFormat="1" applyFont="1" applyFill="1" applyBorder="1" applyAlignment="1">
      <alignment horizontal="right"/>
      <protection/>
    </xf>
    <xf numFmtId="0" fontId="5" fillId="0" borderId="13" xfId="29" applyNumberFormat="1" applyFont="1" applyFill="1" applyBorder="1" applyAlignment="1">
      <alignment horizontal="right"/>
      <protection/>
    </xf>
    <xf numFmtId="0" fontId="5" fillId="0" borderId="21" xfId="29" applyNumberFormat="1" applyFont="1" applyFill="1" applyBorder="1" applyAlignment="1">
      <alignment horizontal="right"/>
      <protection/>
    </xf>
    <xf numFmtId="0" fontId="5" fillId="0" borderId="2" xfId="29" applyNumberFormat="1" applyFont="1" applyFill="1" applyBorder="1" applyAlignment="1">
      <alignment horizontal="right"/>
      <protection/>
    </xf>
    <xf numFmtId="0" fontId="5" fillId="0" borderId="2" xfId="29" applyNumberFormat="1" applyFont="1" applyFill="1" applyBorder="1" applyAlignment="1">
      <alignment horizontal="right"/>
      <protection/>
    </xf>
    <xf numFmtId="0" fontId="5" fillId="0" borderId="8" xfId="29" applyNumberFormat="1" applyFont="1" applyFill="1" applyBorder="1" applyAlignment="1">
      <alignment horizontal="right"/>
      <protection/>
    </xf>
    <xf numFmtId="0" fontId="5" fillId="0" borderId="26" xfId="31" applyFont="1" applyFill="1" applyBorder="1" applyAlignment="1">
      <alignment horizontal="right"/>
      <protection/>
    </xf>
    <xf numFmtId="0" fontId="5" fillId="0" borderId="1" xfId="31" applyFont="1" applyFill="1" applyBorder="1" applyAlignment="1">
      <alignment horizontal="left"/>
      <protection/>
    </xf>
    <xf numFmtId="0" fontId="5" fillId="0" borderId="1" xfId="31" applyFont="1" applyFill="1" applyBorder="1" applyAlignment="1">
      <alignment horizontal="right"/>
      <protection/>
    </xf>
    <xf numFmtId="165" fontId="5" fillId="0" borderId="1" xfId="31" applyNumberFormat="1" applyFont="1" applyFill="1" applyBorder="1" applyAlignment="1">
      <alignment horizontal="right"/>
      <protection/>
    </xf>
    <xf numFmtId="0" fontId="5" fillId="0" borderId="20" xfId="31" applyFont="1" applyFill="1" applyBorder="1" applyAlignment="1">
      <alignment horizontal="left"/>
      <protection/>
    </xf>
    <xf numFmtId="0" fontId="5" fillId="0" borderId="11" xfId="31" applyFont="1" applyFill="1" applyBorder="1" applyAlignment="1">
      <alignment horizontal="right"/>
      <protection/>
    </xf>
    <xf numFmtId="0" fontId="5" fillId="0" borderId="11" xfId="31" applyFont="1" applyFill="1" applyBorder="1" applyAlignment="1">
      <alignment horizontal="left"/>
      <protection/>
    </xf>
    <xf numFmtId="165" fontId="5" fillId="0" borderId="11" xfId="31" applyNumberFormat="1" applyFont="1" applyFill="1" applyBorder="1" applyAlignment="1">
      <alignment horizontal="right"/>
      <protection/>
    </xf>
    <xf numFmtId="0" fontId="5" fillId="0" borderId="21" xfId="31" applyFont="1" applyFill="1" applyBorder="1" applyAlignment="1">
      <alignment horizontal="left"/>
      <protection/>
    </xf>
    <xf numFmtId="0" fontId="5" fillId="0" borderId="12" xfId="31" applyFont="1" applyFill="1" applyBorder="1" applyAlignment="1">
      <alignment horizontal="left"/>
      <protection/>
    </xf>
    <xf numFmtId="0" fontId="5" fillId="0" borderId="2" xfId="31" applyFont="1" applyFill="1" applyBorder="1" applyAlignment="1">
      <alignment horizontal="left"/>
      <protection/>
    </xf>
    <xf numFmtId="0" fontId="5" fillId="0" borderId="13" xfId="31" applyFont="1" applyFill="1" applyBorder="1" applyAlignment="1">
      <alignment horizontal="left"/>
      <protection/>
    </xf>
    <xf numFmtId="0" fontId="5" fillId="0" borderId="7" xfId="31" applyFont="1" applyFill="1" applyBorder="1" applyAlignment="1">
      <alignment horizontal="right"/>
      <protection/>
    </xf>
    <xf numFmtId="0" fontId="5" fillId="0" borderId="7" xfId="31" applyFont="1" applyFill="1" applyBorder="1" applyAlignment="1">
      <alignment horizontal="left"/>
      <protection/>
    </xf>
    <xf numFmtId="165" fontId="5" fillId="0" borderId="7" xfId="31" applyNumberFormat="1" applyFont="1" applyFill="1" applyBorder="1" applyAlignment="1">
      <alignment horizontal="right"/>
      <protection/>
    </xf>
    <xf numFmtId="0" fontId="5" fillId="0" borderId="8" xfId="31" applyFont="1" applyFill="1" applyBorder="1" applyAlignment="1">
      <alignment horizontal="left"/>
      <protection/>
    </xf>
    <xf numFmtId="0" fontId="5" fillId="0" borderId="26" xfId="29" applyFont="1" applyFill="1" applyBorder="1" applyAlignment="1">
      <alignment horizontal="right"/>
      <protection/>
    </xf>
    <xf numFmtId="0" fontId="5" fillId="0" borderId="11" xfId="29" applyFont="1" applyFill="1" applyBorder="1" applyAlignment="1">
      <alignment horizontal="right"/>
      <protection/>
    </xf>
    <xf numFmtId="0" fontId="5" fillId="0" borderId="11" xfId="29" applyFont="1" applyFill="1" applyBorder="1" applyAlignment="1">
      <alignment horizontal="left"/>
      <protection/>
    </xf>
    <xf numFmtId="0" fontId="5" fillId="0" borderId="21" xfId="29" applyFont="1" applyFill="1" applyBorder="1" applyAlignment="1">
      <alignment horizontal="left"/>
      <protection/>
    </xf>
    <xf numFmtId="0" fontId="5" fillId="0" borderId="2" xfId="29" applyFont="1" applyFill="1" applyBorder="1" applyAlignment="1">
      <alignment horizontal="left"/>
      <protection/>
    </xf>
    <xf numFmtId="0" fontId="5" fillId="0" borderId="8" xfId="29" applyFont="1" applyFill="1" applyBorder="1" applyAlignment="1">
      <alignment horizontal="left"/>
      <protection/>
    </xf>
    <xf numFmtId="0" fontId="5" fillId="0" borderId="22" xfId="29" applyFont="1" applyFill="1" applyBorder="1" applyAlignment="1">
      <alignment horizontal="left"/>
      <protection/>
    </xf>
    <xf numFmtId="0" fontId="5" fillId="0" borderId="27" xfId="29" applyFont="1" applyFill="1" applyBorder="1" applyAlignment="1">
      <alignment horizontal="right"/>
      <protection/>
    </xf>
    <xf numFmtId="0" fontId="5" fillId="0" borderId="10" xfId="29" applyFont="1" applyFill="1" applyBorder="1" applyAlignment="1">
      <alignment horizontal="right"/>
      <protection/>
    </xf>
    <xf numFmtId="0" fontId="5" fillId="0" borderId="9" xfId="29" applyFont="1" applyFill="1" applyBorder="1" applyAlignment="1">
      <alignment horizontal="right"/>
      <protection/>
    </xf>
    <xf numFmtId="0" fontId="5" fillId="0" borderId="20" xfId="29" applyFont="1" applyFill="1" applyBorder="1" applyAlignment="1">
      <alignment horizontal="right"/>
      <protection/>
    </xf>
    <xf numFmtId="0" fontId="0" fillId="0" borderId="2" xfId="0" applyBorder="1" applyAlignment="1">
      <alignment horizontal="left"/>
    </xf>
    <xf numFmtId="165" fontId="5" fillId="0" borderId="21" xfId="29" applyNumberFormat="1" applyFont="1" applyFill="1" applyBorder="1" applyAlignment="1">
      <alignment horizontal="right"/>
      <protection/>
    </xf>
    <xf numFmtId="165" fontId="5" fillId="0" borderId="2" xfId="29" applyNumberFormat="1" applyFont="1" applyFill="1" applyBorder="1" applyAlignment="1">
      <alignment horizontal="right"/>
      <protection/>
    </xf>
    <xf numFmtId="165" fontId="5" fillId="0" borderId="8" xfId="29" applyNumberFormat="1" applyFont="1" applyFill="1" applyBorder="1" applyAlignment="1">
      <alignment horizontal="right"/>
      <protection/>
    </xf>
    <xf numFmtId="0" fontId="5" fillId="0" borderId="26" xfId="27" applyFont="1" applyFill="1" applyBorder="1" applyAlignment="1">
      <alignment horizontal="right"/>
      <protection/>
    </xf>
    <xf numFmtId="0" fontId="5" fillId="0" borderId="28" xfId="27" applyFont="1" applyFill="1" applyBorder="1" applyAlignment="1">
      <alignment horizontal="left"/>
      <protection/>
    </xf>
    <xf numFmtId="0" fontId="5" fillId="0" borderId="29" xfId="27" applyFont="1" applyFill="1" applyBorder="1" applyAlignment="1">
      <alignment horizontal="right"/>
      <protection/>
    </xf>
    <xf numFmtId="0" fontId="5" fillId="0" borderId="29" xfId="27" applyFont="1" applyFill="1" applyBorder="1" applyAlignment="1">
      <alignment horizontal="left"/>
      <protection/>
    </xf>
    <xf numFmtId="2" fontId="5" fillId="0" borderId="29" xfId="27" applyNumberFormat="1" applyFont="1" applyFill="1" applyBorder="1" applyAlignment="1">
      <alignment horizontal="right"/>
      <protection/>
    </xf>
    <xf numFmtId="0" fontId="5" fillId="0" borderId="30" xfId="27" applyFont="1" applyFill="1" applyBorder="1" applyAlignment="1">
      <alignment horizontal="left"/>
      <protection/>
    </xf>
    <xf numFmtId="0" fontId="5" fillId="0" borderId="31" xfId="27" applyFont="1" applyFill="1" applyBorder="1" applyAlignment="1">
      <alignment horizontal="right"/>
      <protection/>
    </xf>
    <xf numFmtId="0" fontId="5" fillId="0" borderId="28" xfId="27" applyFont="1" applyFill="1" applyBorder="1" applyAlignment="1">
      <alignment horizontal="right"/>
      <protection/>
    </xf>
    <xf numFmtId="0" fontId="5" fillId="0" borderId="32" xfId="27" applyFont="1" applyFill="1" applyBorder="1" applyAlignment="1">
      <alignment horizontal="right"/>
      <protection/>
    </xf>
    <xf numFmtId="0" fontId="5" fillId="0" borderId="30" xfId="27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left"/>
      <protection/>
    </xf>
    <xf numFmtId="0" fontId="5" fillId="0" borderId="1" xfId="23" applyFont="1" applyFill="1" applyBorder="1" applyAlignment="1">
      <alignment horizontal="right"/>
      <protection/>
    </xf>
    <xf numFmtId="2" fontId="5" fillId="0" borderId="1" xfId="23" applyNumberFormat="1" applyFont="1" applyFill="1" applyBorder="1" applyAlignment="1">
      <alignment horizontal="right"/>
      <protection/>
    </xf>
    <xf numFmtId="0" fontId="5" fillId="0" borderId="20" xfId="23" applyFont="1" applyFill="1" applyBorder="1" applyAlignment="1">
      <alignment horizontal="left"/>
      <protection/>
    </xf>
    <xf numFmtId="0" fontId="5" fillId="0" borderId="11" xfId="23" applyFont="1" applyFill="1" applyBorder="1" applyAlignment="1">
      <alignment horizontal="right"/>
      <protection/>
    </xf>
    <xf numFmtId="0" fontId="5" fillId="0" borderId="11" xfId="23" applyFont="1" applyFill="1" applyBorder="1" applyAlignment="1">
      <alignment horizontal="left"/>
      <protection/>
    </xf>
    <xf numFmtId="2" fontId="5" fillId="0" borderId="11" xfId="23" applyNumberFormat="1" applyFont="1" applyFill="1" applyBorder="1" applyAlignment="1">
      <alignment horizontal="right"/>
      <protection/>
    </xf>
    <xf numFmtId="0" fontId="5" fillId="0" borderId="21" xfId="23" applyFont="1" applyFill="1" applyBorder="1" applyAlignment="1">
      <alignment horizontal="left"/>
      <protection/>
    </xf>
    <xf numFmtId="0" fontId="5" fillId="0" borderId="12" xfId="23" applyFont="1" applyFill="1" applyBorder="1" applyAlignment="1">
      <alignment horizontal="left"/>
      <protection/>
    </xf>
    <xf numFmtId="0" fontId="5" fillId="0" borderId="2" xfId="23" applyFont="1" applyFill="1" applyBorder="1" applyAlignment="1">
      <alignment horizontal="left"/>
      <protection/>
    </xf>
    <xf numFmtId="0" fontId="5" fillId="0" borderId="13" xfId="23" applyFont="1" applyFill="1" applyBorder="1" applyAlignment="1">
      <alignment horizontal="left"/>
      <protection/>
    </xf>
    <xf numFmtId="0" fontId="5" fillId="0" borderId="7" xfId="23" applyFont="1" applyFill="1" applyBorder="1" applyAlignment="1">
      <alignment horizontal="right"/>
      <protection/>
    </xf>
    <xf numFmtId="0" fontId="5" fillId="0" borderId="7" xfId="23" applyFont="1" applyFill="1" applyBorder="1" applyAlignment="1">
      <alignment horizontal="left"/>
      <protection/>
    </xf>
    <xf numFmtId="2" fontId="5" fillId="0" borderId="7" xfId="23" applyNumberFormat="1" applyFont="1" applyFill="1" applyBorder="1" applyAlignment="1">
      <alignment horizontal="right"/>
      <protection/>
    </xf>
    <xf numFmtId="0" fontId="5" fillId="0" borderId="8" xfId="23" applyFont="1" applyFill="1" applyBorder="1" applyAlignment="1">
      <alignment horizontal="left"/>
      <protection/>
    </xf>
    <xf numFmtId="0" fontId="5" fillId="0" borderId="21" xfId="23" applyFont="1" applyFill="1" applyBorder="1" applyAlignment="1">
      <alignment horizontal="right"/>
      <protection/>
    </xf>
    <xf numFmtId="0" fontId="5" fillId="0" borderId="2" xfId="23" applyFont="1" applyFill="1" applyBorder="1" applyAlignment="1">
      <alignment horizontal="right"/>
      <protection/>
    </xf>
    <xf numFmtId="0" fontId="5" fillId="0" borderId="8" xfId="23" applyFont="1" applyFill="1" applyBorder="1" applyAlignment="1">
      <alignment horizontal="right"/>
      <protection/>
    </xf>
    <xf numFmtId="0" fontId="5" fillId="0" borderId="20" xfId="23" applyFont="1" applyFill="1" applyBorder="1" applyAlignment="1">
      <alignment horizontal="right"/>
      <protection/>
    </xf>
    <xf numFmtId="0" fontId="5" fillId="0" borderId="12" xfId="23" applyFont="1" applyFill="1" applyBorder="1" applyAlignment="1">
      <alignment horizontal="right"/>
      <protection/>
    </xf>
    <xf numFmtId="0" fontId="5" fillId="0" borderId="13" xfId="23" applyFont="1" applyFill="1" applyBorder="1" applyAlignment="1">
      <alignment horizontal="right"/>
      <protection/>
    </xf>
    <xf numFmtId="2" fontId="5" fillId="0" borderId="1" xfId="30" applyNumberFormat="1" applyFont="1" applyFill="1" applyBorder="1" applyAlignment="1">
      <alignment horizontal="right"/>
      <protection/>
    </xf>
    <xf numFmtId="2" fontId="5" fillId="0" borderId="11" xfId="30" applyNumberFormat="1" applyFont="1" applyFill="1" applyBorder="1" applyAlignment="1">
      <alignment horizontal="right"/>
      <protection/>
    </xf>
    <xf numFmtId="2" fontId="5" fillId="0" borderId="7" xfId="30" applyNumberFormat="1" applyFont="1" applyFill="1" applyBorder="1" applyAlignment="1">
      <alignment horizontal="right"/>
      <protection/>
    </xf>
    <xf numFmtId="0" fontId="5" fillId="0" borderId="23" xfId="30" applyFont="1" applyFill="1" applyBorder="1" applyAlignment="1">
      <alignment horizontal="left"/>
      <protection/>
    </xf>
    <xf numFmtId="0" fontId="5" fillId="0" borderId="24" xfId="30" applyFont="1" applyFill="1" applyBorder="1" applyAlignment="1">
      <alignment horizontal="left"/>
      <protection/>
    </xf>
    <xf numFmtId="0" fontId="5" fillId="0" borderId="25" xfId="30" applyFont="1" applyFill="1" applyBorder="1" applyAlignment="1">
      <alignment horizontal="left"/>
      <protection/>
    </xf>
    <xf numFmtId="0" fontId="5" fillId="0" borderId="1" xfId="32" applyFont="1" applyFill="1" applyBorder="1" applyAlignment="1">
      <alignment horizontal="left"/>
      <protection/>
    </xf>
    <xf numFmtId="0" fontId="5" fillId="0" borderId="1" xfId="32" applyFont="1" applyFill="1" applyBorder="1" applyAlignment="1">
      <alignment horizontal="right"/>
      <protection/>
    </xf>
    <xf numFmtId="0" fontId="5" fillId="0" borderId="20" xfId="32" applyFont="1" applyFill="1" applyBorder="1" applyAlignment="1">
      <alignment horizontal="left"/>
      <protection/>
    </xf>
    <xf numFmtId="0" fontId="5" fillId="0" borderId="11" xfId="32" applyFont="1" applyFill="1" applyBorder="1" applyAlignment="1">
      <alignment horizontal="right"/>
      <protection/>
    </xf>
    <xf numFmtId="0" fontId="5" fillId="0" borderId="11" xfId="32" applyFont="1" applyFill="1" applyBorder="1" applyAlignment="1">
      <alignment horizontal="left"/>
      <protection/>
    </xf>
    <xf numFmtId="0" fontId="5" fillId="0" borderId="12" xfId="32" applyFont="1" applyFill="1" applyBorder="1" applyAlignment="1">
      <alignment horizontal="left"/>
      <protection/>
    </xf>
    <xf numFmtId="0" fontId="5" fillId="0" borderId="13" xfId="32" applyFont="1" applyFill="1" applyBorder="1" applyAlignment="1">
      <alignment horizontal="left"/>
      <protection/>
    </xf>
    <xf numFmtId="0" fontId="5" fillId="0" borderId="7" xfId="32" applyFont="1" applyFill="1" applyBorder="1" applyAlignment="1">
      <alignment horizontal="right"/>
      <protection/>
    </xf>
    <xf numFmtId="0" fontId="5" fillId="0" borderId="7" xfId="32" applyFont="1" applyFill="1" applyBorder="1" applyAlignment="1">
      <alignment horizontal="left"/>
      <protection/>
    </xf>
    <xf numFmtId="165" fontId="5" fillId="0" borderId="11" xfId="32" applyNumberFormat="1" applyFont="1" applyFill="1" applyBorder="1" applyAlignment="1">
      <alignment horizontal="right"/>
      <protection/>
    </xf>
    <xf numFmtId="165" fontId="5" fillId="0" borderId="1" xfId="32" applyNumberFormat="1" applyFont="1" applyFill="1" applyBorder="1" applyAlignment="1">
      <alignment horizontal="right"/>
      <protection/>
    </xf>
    <xf numFmtId="165" fontId="5" fillId="0" borderId="7" xfId="32" applyNumberFormat="1" applyFont="1" applyFill="1" applyBorder="1" applyAlignment="1">
      <alignment horizontal="right"/>
      <protection/>
    </xf>
    <xf numFmtId="0" fontId="5" fillId="0" borderId="26" xfId="21" applyFont="1" applyFill="1" applyBorder="1" applyAlignment="1">
      <alignment horizontal="right"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right"/>
      <protection/>
    </xf>
    <xf numFmtId="0" fontId="5" fillId="0" borderId="11" xfId="21" applyFont="1" applyFill="1" applyBorder="1" applyAlignment="1">
      <alignment horizontal="right"/>
      <protection/>
    </xf>
    <xf numFmtId="0" fontId="5" fillId="0" borderId="11" xfId="21" applyFont="1" applyFill="1" applyBorder="1" applyAlignment="1">
      <alignment horizontal="left"/>
      <protection/>
    </xf>
    <xf numFmtId="0" fontId="5" fillId="0" borderId="21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7" xfId="21" applyFont="1" applyFill="1" applyBorder="1" applyAlignment="1">
      <alignment horizontal="right"/>
      <protection/>
    </xf>
    <xf numFmtId="0" fontId="5" fillId="0" borderId="7" xfId="21" applyFont="1" applyFill="1" applyBorder="1" applyAlignment="1">
      <alignment horizontal="left"/>
      <protection/>
    </xf>
    <xf numFmtId="0" fontId="5" fillId="0" borderId="8" xfId="21" applyFont="1" applyFill="1" applyBorder="1" applyAlignment="1">
      <alignment horizontal="left"/>
      <protection/>
    </xf>
    <xf numFmtId="0" fontId="5" fillId="0" borderId="21" xfId="21" applyFont="1" applyFill="1" applyBorder="1" applyAlignment="1">
      <alignment horizontal="right"/>
      <protection/>
    </xf>
    <xf numFmtId="0" fontId="5" fillId="0" borderId="2" xfId="21" applyFont="1" applyFill="1" applyBorder="1" applyAlignment="1">
      <alignment horizontal="right"/>
      <protection/>
    </xf>
    <xf numFmtId="0" fontId="5" fillId="0" borderId="8" xfId="21" applyFont="1" applyFill="1" applyBorder="1" applyAlignment="1">
      <alignment horizontal="right"/>
      <protection/>
    </xf>
    <xf numFmtId="0" fontId="5" fillId="0" borderId="12" xfId="2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horizontal="right"/>
      <protection/>
    </xf>
    <xf numFmtId="0" fontId="5" fillId="0" borderId="20" xfId="21" applyFont="1" applyFill="1" applyBorder="1" applyAlignment="1">
      <alignment horizontal="right"/>
      <protection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/>
    </xf>
    <xf numFmtId="2" fontId="10" fillId="0" borderId="33" xfId="28" applyNumberFormat="1" applyFont="1" applyFill="1" applyBorder="1" applyAlignment="1">
      <alignment horizontal="center"/>
      <protection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165" fontId="10" fillId="0" borderId="34" xfId="19" applyNumberFormat="1" applyFont="1" applyFill="1" applyBorder="1" applyAlignment="1">
      <alignment horizontal="right"/>
      <protection/>
    </xf>
    <xf numFmtId="10" fontId="1" fillId="0" borderId="33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165" fontId="1" fillId="0" borderId="33" xfId="0" applyNumberFormat="1" applyFont="1" applyBorder="1" applyAlignment="1">
      <alignment/>
    </xf>
    <xf numFmtId="0" fontId="5" fillId="0" borderId="35" xfId="27" applyFont="1" applyFill="1" applyBorder="1" applyAlignment="1">
      <alignment horizontal="left"/>
      <protection/>
    </xf>
    <xf numFmtId="0" fontId="5" fillId="0" borderId="36" xfId="27" applyFont="1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5" fillId="0" borderId="37" xfId="27" applyFont="1" applyFill="1" applyBorder="1" applyAlignment="1">
      <alignment horizontal="right"/>
      <protection/>
    </xf>
    <xf numFmtId="0" fontId="5" fillId="0" borderId="38" xfId="27" applyFont="1" applyFill="1" applyBorder="1" applyAlignment="1">
      <alignment horizontal="right"/>
      <protection/>
    </xf>
    <xf numFmtId="0" fontId="5" fillId="0" borderId="39" xfId="27" applyFont="1" applyFill="1" applyBorder="1" applyAlignment="1">
      <alignment horizontal="right"/>
      <protection/>
    </xf>
    <xf numFmtId="0" fontId="5" fillId="0" borderId="40" xfId="27" applyFont="1" applyFill="1" applyBorder="1" applyAlignment="1">
      <alignment horizontal="right"/>
      <protection/>
    </xf>
    <xf numFmtId="0" fontId="5" fillId="0" borderId="41" xfId="27" applyFont="1" applyFill="1" applyBorder="1" applyAlignment="1">
      <alignment horizontal="left"/>
      <protection/>
    </xf>
    <xf numFmtId="0" fontId="5" fillId="0" borderId="42" xfId="27" applyFont="1" applyFill="1" applyBorder="1" applyAlignment="1">
      <alignment horizontal="left"/>
      <protection/>
    </xf>
    <xf numFmtId="0" fontId="5" fillId="0" borderId="43" xfId="27" applyFont="1" applyFill="1" applyBorder="1" applyAlignment="1">
      <alignment horizontal="left"/>
      <protection/>
    </xf>
    <xf numFmtId="0" fontId="5" fillId="0" borderId="44" xfId="27" applyFont="1" applyFill="1" applyBorder="1" applyAlignment="1">
      <alignment horizontal="right"/>
      <protection/>
    </xf>
    <xf numFmtId="0" fontId="5" fillId="0" borderId="45" xfId="27" applyFont="1" applyFill="1" applyBorder="1" applyAlignment="1">
      <alignment horizontal="right"/>
      <protection/>
    </xf>
    <xf numFmtId="0" fontId="5" fillId="0" borderId="46" xfId="27" applyFont="1" applyFill="1" applyBorder="1" applyAlignment="1">
      <alignment horizontal="right"/>
      <protection/>
    </xf>
    <xf numFmtId="0" fontId="5" fillId="0" borderId="37" xfId="27" applyFont="1" applyFill="1" applyBorder="1" applyAlignment="1">
      <alignment horizontal="left"/>
      <protection/>
    </xf>
    <xf numFmtId="0" fontId="5" fillId="0" borderId="38" xfId="27" applyFont="1" applyFill="1" applyBorder="1" applyAlignment="1">
      <alignment horizontal="left"/>
      <protection/>
    </xf>
    <xf numFmtId="0" fontId="5" fillId="0" borderId="40" xfId="27" applyFont="1" applyFill="1" applyBorder="1" applyAlignment="1">
      <alignment horizontal="left"/>
      <protection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4" fontId="5" fillId="0" borderId="37" xfId="27" applyNumberFormat="1" applyFont="1" applyFill="1" applyBorder="1" applyAlignment="1">
      <alignment horizontal="right"/>
      <protection/>
    </xf>
    <xf numFmtId="2" fontId="5" fillId="0" borderId="38" xfId="27" applyNumberFormat="1" applyFont="1" applyFill="1" applyBorder="1" applyAlignment="1">
      <alignment horizontal="right"/>
      <protection/>
    </xf>
    <xf numFmtId="4" fontId="5" fillId="0" borderId="38" xfId="27" applyNumberFormat="1" applyFont="1" applyFill="1" applyBorder="1" applyAlignment="1">
      <alignment horizontal="right"/>
      <protection/>
    </xf>
    <xf numFmtId="4" fontId="5" fillId="0" borderId="40" xfId="27" applyNumberFormat="1" applyFont="1" applyFill="1" applyBorder="1" applyAlignment="1">
      <alignment horizontal="right"/>
      <protection/>
    </xf>
    <xf numFmtId="2" fontId="5" fillId="0" borderId="37" xfId="27" applyNumberFormat="1" applyFont="1" applyFill="1" applyBorder="1" applyAlignment="1">
      <alignment horizontal="right"/>
      <protection/>
    </xf>
    <xf numFmtId="2" fontId="5" fillId="0" borderId="40" xfId="27" applyNumberFormat="1" applyFont="1" applyFill="1" applyBorder="1" applyAlignment="1">
      <alignment horizontal="right"/>
      <protection/>
    </xf>
    <xf numFmtId="0" fontId="0" fillId="0" borderId="39" xfId="0" applyBorder="1" applyAlignment="1">
      <alignment/>
    </xf>
    <xf numFmtId="164" fontId="5" fillId="0" borderId="37" xfId="27" applyNumberFormat="1" applyFont="1" applyFill="1" applyBorder="1" applyAlignment="1">
      <alignment horizontal="right"/>
      <protection/>
    </xf>
    <xf numFmtId="164" fontId="5" fillId="0" borderId="38" xfId="27" applyNumberFormat="1" applyFont="1" applyFill="1" applyBorder="1" applyAlignment="1">
      <alignment horizontal="right"/>
      <protection/>
    </xf>
    <xf numFmtId="164" fontId="5" fillId="0" borderId="39" xfId="27" applyNumberFormat="1" applyFont="1" applyFill="1" applyBorder="1" applyAlignment="1">
      <alignment horizontal="right"/>
      <protection/>
    </xf>
    <xf numFmtId="0" fontId="5" fillId="0" borderId="47" xfId="27" applyFont="1" applyFill="1" applyBorder="1" applyAlignment="1">
      <alignment horizontal="left"/>
      <protection/>
    </xf>
    <xf numFmtId="0" fontId="5" fillId="0" borderId="48" xfId="27" applyFont="1" applyFill="1" applyBorder="1" applyAlignment="1">
      <alignment horizontal="left"/>
      <protection/>
    </xf>
    <xf numFmtId="0" fontId="5" fillId="0" borderId="49" xfId="27" applyFont="1" applyFill="1" applyBorder="1" applyAlignment="1">
      <alignment horizontal="left"/>
      <protection/>
    </xf>
    <xf numFmtId="0" fontId="5" fillId="0" borderId="39" xfId="27" applyFont="1" applyFill="1" applyBorder="1" applyAlignment="1">
      <alignment horizontal="left"/>
      <protection/>
    </xf>
    <xf numFmtId="0" fontId="5" fillId="0" borderId="20" xfId="21" applyFont="1" applyFill="1" applyBorder="1" applyAlignment="1">
      <alignment horizontal="left"/>
      <protection/>
    </xf>
    <xf numFmtId="0" fontId="5" fillId="0" borderId="12" xfId="21" applyFont="1" applyFill="1" applyBorder="1" applyAlignment="1">
      <alignment horizontal="left"/>
      <protection/>
    </xf>
    <xf numFmtId="0" fontId="5" fillId="0" borderId="13" xfId="21" applyFont="1" applyFill="1" applyBorder="1" applyAlignment="1">
      <alignment horizontal="left"/>
      <protection/>
    </xf>
    <xf numFmtId="0" fontId="0" fillId="0" borderId="17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2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7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62" xfId="0" applyFont="1" applyBorder="1" applyAlignment="1">
      <alignment horizontal="center" vertical="top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1" fillId="0" borderId="51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65" xfId="0" applyFont="1" applyBorder="1" applyAlignment="1">
      <alignment horizontal="center" vertical="top" wrapText="1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2" fontId="1" fillId="0" borderId="2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5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68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2" fontId="1" fillId="0" borderId="68" xfId="0" applyNumberFormat="1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Normal_Flying J" xfId="19"/>
    <cellStyle name="Normal_Geneva" xfId="20"/>
    <cellStyle name="Normal_Graymont" xfId="21"/>
    <cellStyle name="Normal_Holnam" xfId="22"/>
    <cellStyle name="Normal_Hunter" xfId="23"/>
    <cellStyle name="Normal_IPP" xfId="24"/>
    <cellStyle name="Normal_Kennecott N Con" xfId="25"/>
    <cellStyle name="Normal_Phillips 66" xfId="26"/>
    <cellStyle name="Normal_Sheet1" xfId="27"/>
    <cellStyle name="Normal_Sheet2" xfId="28"/>
    <cellStyle name="Normal_Sheet3" xfId="29"/>
    <cellStyle name="Normal_Sheet4" xfId="30"/>
    <cellStyle name="Normal_Sunnyside" xfId="31"/>
    <cellStyle name="Normal_Tom Brown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9" customWidth="1"/>
    <col min="2" max="2" width="8.28125" style="9" customWidth="1"/>
    <col min="3" max="3" width="12.140625" style="9" customWidth="1"/>
    <col min="4" max="4" width="9.28125" style="9" customWidth="1"/>
    <col min="5" max="5" width="20.8515625" style="9" customWidth="1"/>
    <col min="6" max="6" width="8.00390625" style="9" customWidth="1"/>
    <col min="7" max="7" width="10.421875" style="9" customWidth="1"/>
    <col min="8" max="8" width="11.28125" style="9" customWidth="1"/>
    <col min="9" max="9" width="8.421875" style="9" customWidth="1"/>
    <col min="10" max="11" width="8.28125" style="9" customWidth="1"/>
    <col min="12" max="12" width="12.140625" style="9" customWidth="1"/>
    <col min="13" max="13" width="8.28125" style="9" customWidth="1"/>
    <col min="14" max="14" width="8.421875" style="9" customWidth="1"/>
    <col min="15" max="15" width="7.140625" style="9" customWidth="1"/>
    <col min="16" max="16" width="6.00390625" style="9" customWidth="1"/>
    <col min="17" max="17" width="9.140625" style="9" customWidth="1"/>
    <col min="18" max="18" width="16.00390625" style="9" customWidth="1"/>
    <col min="19" max="19" width="9.140625" style="9" customWidth="1"/>
    <col min="20" max="20" width="17.421875" style="9" customWidth="1"/>
    <col min="21" max="21" width="9.140625" style="9" customWidth="1"/>
    <col min="22" max="22" width="9.8515625" style="9" customWidth="1"/>
    <col min="23" max="23" width="11.7109375" style="9" customWidth="1"/>
    <col min="24" max="24" width="11.28125" style="9" customWidth="1"/>
    <col min="25" max="25" width="9.140625" style="9" customWidth="1"/>
    <col min="26" max="26" width="9.421875" style="9" customWidth="1"/>
    <col min="27" max="27" width="11.7109375" style="9" customWidth="1"/>
    <col min="28" max="28" width="43.00390625" style="9" bestFit="1" customWidth="1"/>
    <col min="29" max="16384" width="9.140625" style="9" customWidth="1"/>
  </cols>
  <sheetData>
    <row r="1" spans="1:5" ht="15.75">
      <c r="A1" s="7" t="s">
        <v>46</v>
      </c>
      <c r="B1" s="11"/>
      <c r="E1" s="4" t="s">
        <v>44</v>
      </c>
    </row>
    <row r="2" spans="1:5" ht="15">
      <c r="A2" s="11"/>
      <c r="B2" s="11"/>
      <c r="E2" s="5" t="s">
        <v>91</v>
      </c>
    </row>
    <row r="3" spans="1:3" ht="12.75">
      <c r="A3" s="11" t="s">
        <v>13</v>
      </c>
      <c r="B3" s="11" t="s">
        <v>14</v>
      </c>
      <c r="C3" s="7" t="s">
        <v>47</v>
      </c>
    </row>
    <row r="4" spans="1:2" ht="12.75">
      <c r="A4" s="6">
        <v>10335</v>
      </c>
      <c r="B4" s="11"/>
    </row>
    <row r="5" ht="13.5" thickBot="1"/>
    <row r="6" spans="1:30" ht="16.5" customHeight="1">
      <c r="A6" s="512" t="s">
        <v>43</v>
      </c>
      <c r="B6" s="515" t="s">
        <v>29</v>
      </c>
      <c r="C6" s="498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17" t="s">
        <v>451</v>
      </c>
      <c r="J6" s="518"/>
      <c r="K6" s="518"/>
      <c r="L6" s="519"/>
      <c r="M6" s="524" t="s">
        <v>15</v>
      </c>
      <c r="N6" s="525"/>
      <c r="O6" s="525"/>
      <c r="P6" s="526"/>
      <c r="Q6" s="522" t="s">
        <v>32</v>
      </c>
      <c r="R6" s="500" t="s">
        <v>30</v>
      </c>
      <c r="S6" s="492"/>
      <c r="T6" s="516" t="s">
        <v>31</v>
      </c>
      <c r="U6" s="492"/>
      <c r="V6" s="500" t="s">
        <v>40</v>
      </c>
      <c r="W6" s="506" t="s">
        <v>35</v>
      </c>
      <c r="X6" s="509" t="s">
        <v>774</v>
      </c>
      <c r="Y6" s="500" t="s">
        <v>36</v>
      </c>
      <c r="Z6" s="500" t="s">
        <v>37</v>
      </c>
      <c r="AA6" s="500" t="s">
        <v>38</v>
      </c>
      <c r="AB6" s="506" t="s">
        <v>39</v>
      </c>
      <c r="AC6" s="12"/>
      <c r="AD6" s="12"/>
    </row>
    <row r="7" spans="1:30" s="1" customFormat="1" ht="24.75" customHeight="1">
      <c r="A7" s="513"/>
      <c r="B7" s="496"/>
      <c r="C7" s="499"/>
      <c r="D7" s="504"/>
      <c r="E7" s="504"/>
      <c r="F7" s="504"/>
      <c r="G7" s="504"/>
      <c r="H7" s="504"/>
      <c r="I7" s="520"/>
      <c r="J7" s="520"/>
      <c r="K7" s="520"/>
      <c r="L7" s="521"/>
      <c r="M7" s="527" t="s">
        <v>20</v>
      </c>
      <c r="N7" s="528" t="s">
        <v>19</v>
      </c>
      <c r="O7" s="528" t="s">
        <v>21</v>
      </c>
      <c r="P7" s="528" t="s">
        <v>22</v>
      </c>
      <c r="Q7" s="523"/>
      <c r="R7" s="494" t="s">
        <v>41</v>
      </c>
      <c r="S7" s="495" t="s">
        <v>33</v>
      </c>
      <c r="T7" s="490" t="s">
        <v>773</v>
      </c>
      <c r="U7" s="489" t="s">
        <v>33</v>
      </c>
      <c r="V7" s="501"/>
      <c r="W7" s="507"/>
      <c r="X7" s="510"/>
      <c r="Y7" s="501"/>
      <c r="Z7" s="501"/>
      <c r="AA7" s="501"/>
      <c r="AB7" s="507"/>
      <c r="AC7" s="13"/>
      <c r="AD7" s="13"/>
    </row>
    <row r="8" spans="1:33" ht="25.5" customHeight="1" thickBot="1">
      <c r="A8" s="514"/>
      <c r="B8" s="497"/>
      <c r="C8" s="493"/>
      <c r="D8" s="505"/>
      <c r="E8" s="505"/>
      <c r="F8" s="505"/>
      <c r="G8" s="505"/>
      <c r="H8" s="505"/>
      <c r="I8" s="65" t="s">
        <v>17</v>
      </c>
      <c r="J8" s="62" t="s">
        <v>18</v>
      </c>
      <c r="K8" s="62" t="s">
        <v>16</v>
      </c>
      <c r="L8" s="63" t="s">
        <v>19</v>
      </c>
      <c r="M8" s="493"/>
      <c r="N8" s="505"/>
      <c r="O8" s="505"/>
      <c r="P8" s="505"/>
      <c r="Q8" s="491"/>
      <c r="R8" s="502"/>
      <c r="S8" s="488"/>
      <c r="T8" s="491"/>
      <c r="U8" s="511"/>
      <c r="V8" s="502"/>
      <c r="W8" s="508"/>
      <c r="X8" s="511"/>
      <c r="Y8" s="502"/>
      <c r="Z8" s="502"/>
      <c r="AA8" s="502"/>
      <c r="AB8" s="508"/>
      <c r="AC8" s="71"/>
      <c r="AD8" s="71"/>
      <c r="AE8" s="64"/>
      <c r="AF8" s="64"/>
      <c r="AG8" s="64"/>
    </row>
    <row r="9" spans="1:33" ht="12.75">
      <c r="A9" s="460" t="s">
        <v>48</v>
      </c>
      <c r="B9" s="463">
        <v>1234</v>
      </c>
      <c r="C9" s="466" t="s">
        <v>49</v>
      </c>
      <c r="D9" s="456">
        <v>10200701</v>
      </c>
      <c r="E9" s="466" t="s">
        <v>50</v>
      </c>
      <c r="F9" s="456" t="s">
        <v>75</v>
      </c>
      <c r="G9" s="456">
        <v>4</v>
      </c>
      <c r="H9" s="466" t="s">
        <v>80</v>
      </c>
      <c r="I9" s="456">
        <v>1281</v>
      </c>
      <c r="J9" s="466" t="s">
        <v>85</v>
      </c>
      <c r="K9" s="456">
        <v>46.25</v>
      </c>
      <c r="L9" s="466" t="s">
        <v>90</v>
      </c>
      <c r="M9" s="463">
        <v>0</v>
      </c>
      <c r="N9" s="456">
        <v>0</v>
      </c>
      <c r="O9" s="456" t="s">
        <v>51</v>
      </c>
      <c r="P9" s="456" t="s">
        <v>51</v>
      </c>
      <c r="Q9" s="456" t="s">
        <v>52</v>
      </c>
      <c r="R9" s="466" t="s">
        <v>77</v>
      </c>
      <c r="S9" s="456">
        <v>45</v>
      </c>
      <c r="T9" s="470"/>
      <c r="U9" s="456">
        <v>0</v>
      </c>
      <c r="V9" s="471">
        <v>0</v>
      </c>
      <c r="W9" s="475">
        <f>Z9*I9/2000</f>
        <v>5.002321899736147</v>
      </c>
      <c r="X9" s="470">
        <v>0</v>
      </c>
      <c r="Y9" s="456">
        <v>2</v>
      </c>
      <c r="Z9" s="478">
        <f>K9*64/379</f>
        <v>7.810026385224274</v>
      </c>
      <c r="AA9" s="466" t="s">
        <v>86</v>
      </c>
      <c r="AB9" s="481" t="s">
        <v>53</v>
      </c>
      <c r="AC9" s="64"/>
      <c r="AD9" s="64"/>
      <c r="AE9" s="64"/>
      <c r="AF9" s="64"/>
      <c r="AG9" s="64"/>
    </row>
    <row r="10" spans="1:33" ht="12.75">
      <c r="A10" s="461" t="s">
        <v>48</v>
      </c>
      <c r="B10" s="464">
        <v>1235</v>
      </c>
      <c r="C10" s="467" t="s">
        <v>48</v>
      </c>
      <c r="D10" s="457">
        <v>10200701</v>
      </c>
      <c r="E10" s="467" t="s">
        <v>54</v>
      </c>
      <c r="F10" s="457" t="s">
        <v>75</v>
      </c>
      <c r="G10" s="457">
        <v>5</v>
      </c>
      <c r="H10" s="467" t="s">
        <v>80</v>
      </c>
      <c r="I10" s="457">
        <v>991.3</v>
      </c>
      <c r="J10" s="467" t="s">
        <v>85</v>
      </c>
      <c r="K10" s="457">
        <v>46.25</v>
      </c>
      <c r="L10" s="467" t="s">
        <v>90</v>
      </c>
      <c r="M10" s="464">
        <v>0</v>
      </c>
      <c r="N10" s="457">
        <v>0</v>
      </c>
      <c r="O10" s="457" t="s">
        <v>51</v>
      </c>
      <c r="P10" s="457" t="s">
        <v>51</v>
      </c>
      <c r="Q10" s="457" t="s">
        <v>52</v>
      </c>
      <c r="R10" s="467" t="s">
        <v>77</v>
      </c>
      <c r="S10" s="457">
        <v>45</v>
      </c>
      <c r="T10" s="469"/>
      <c r="U10" s="457">
        <v>0</v>
      </c>
      <c r="V10" s="472">
        <v>0</v>
      </c>
      <c r="W10" s="472">
        <f>Z10*I10/2000</f>
        <v>3.8710395778364113</v>
      </c>
      <c r="X10" s="457">
        <v>0</v>
      </c>
      <c r="Y10" s="457">
        <v>2</v>
      </c>
      <c r="Z10" s="479">
        <f>K10*64/379</f>
        <v>7.810026385224274</v>
      </c>
      <c r="AA10" s="467" t="s">
        <v>86</v>
      </c>
      <c r="AB10" s="482" t="s">
        <v>53</v>
      </c>
      <c r="AC10" s="70"/>
      <c r="AD10" s="70"/>
      <c r="AE10" s="64"/>
      <c r="AF10" s="64"/>
      <c r="AG10" s="64"/>
    </row>
    <row r="11" spans="1:33" ht="12.75">
      <c r="A11" s="461" t="s">
        <v>48</v>
      </c>
      <c r="B11" s="464">
        <v>1236</v>
      </c>
      <c r="C11" s="467" t="s">
        <v>55</v>
      </c>
      <c r="D11" s="457">
        <v>10200701</v>
      </c>
      <c r="E11" s="467" t="s">
        <v>56</v>
      </c>
      <c r="F11" s="457" t="s">
        <v>75</v>
      </c>
      <c r="G11" s="457">
        <v>6</v>
      </c>
      <c r="H11" s="467" t="s">
        <v>80</v>
      </c>
      <c r="I11" s="457">
        <v>29.1</v>
      </c>
      <c r="J11" s="467" t="s">
        <v>85</v>
      </c>
      <c r="K11" s="457">
        <v>46.25</v>
      </c>
      <c r="L11" s="467" t="s">
        <v>90</v>
      </c>
      <c r="M11" s="464">
        <v>0</v>
      </c>
      <c r="N11" s="457">
        <v>0</v>
      </c>
      <c r="O11" s="457" t="s">
        <v>51</v>
      </c>
      <c r="P11" s="457" t="s">
        <v>51</v>
      </c>
      <c r="Q11" s="457" t="s">
        <v>52</v>
      </c>
      <c r="R11" s="467" t="s">
        <v>77</v>
      </c>
      <c r="S11" s="457">
        <v>45</v>
      </c>
      <c r="T11" s="469"/>
      <c r="U11" s="457">
        <v>0</v>
      </c>
      <c r="V11" s="473">
        <v>0</v>
      </c>
      <c r="W11" s="472">
        <f>Z11*I11/2000</f>
        <v>0.1136358839050132</v>
      </c>
      <c r="X11" s="469">
        <v>0</v>
      </c>
      <c r="Y11" s="457">
        <v>2</v>
      </c>
      <c r="Z11" s="479">
        <f>K11*64/379</f>
        <v>7.810026385224274</v>
      </c>
      <c r="AA11" s="467" t="s">
        <v>86</v>
      </c>
      <c r="AB11" s="482" t="s">
        <v>53</v>
      </c>
      <c r="AC11" s="64"/>
      <c r="AD11" s="64"/>
      <c r="AE11" s="64"/>
      <c r="AF11" s="64"/>
      <c r="AG11" s="64"/>
    </row>
    <row r="12" spans="1:33" ht="12.75">
      <c r="A12" s="461" t="s">
        <v>48</v>
      </c>
      <c r="B12" s="464">
        <v>3095</v>
      </c>
      <c r="C12" s="467" t="s">
        <v>57</v>
      </c>
      <c r="D12" s="457">
        <v>30600105</v>
      </c>
      <c r="E12" s="467" t="s">
        <v>58</v>
      </c>
      <c r="F12" s="457" t="s">
        <v>76</v>
      </c>
      <c r="G12" s="457">
        <v>2056</v>
      </c>
      <c r="H12" s="467" t="s">
        <v>59</v>
      </c>
      <c r="I12" s="457">
        <v>156.6</v>
      </c>
      <c r="J12" s="467" t="s">
        <v>85</v>
      </c>
      <c r="K12" s="457">
        <v>8760</v>
      </c>
      <c r="L12" s="467" t="s">
        <v>88</v>
      </c>
      <c r="M12" s="464">
        <v>0</v>
      </c>
      <c r="N12" s="457">
        <v>0</v>
      </c>
      <c r="O12" s="457" t="s">
        <v>51</v>
      </c>
      <c r="P12" s="457" t="s">
        <v>51</v>
      </c>
      <c r="Q12" s="457" t="s">
        <v>52</v>
      </c>
      <c r="R12" s="467" t="s">
        <v>77</v>
      </c>
      <c r="S12" s="457">
        <v>45</v>
      </c>
      <c r="T12" s="469"/>
      <c r="U12" s="457">
        <v>0</v>
      </c>
      <c r="V12" s="473">
        <v>95</v>
      </c>
      <c r="W12" s="472">
        <f>Z12*K12/2000</f>
        <v>148.00019999999998</v>
      </c>
      <c r="X12" s="469">
        <v>5</v>
      </c>
      <c r="Y12" s="457">
        <v>10</v>
      </c>
      <c r="Z12" s="479">
        <v>33.79</v>
      </c>
      <c r="AA12" s="467" t="s">
        <v>78</v>
      </c>
      <c r="AB12" s="482" t="s">
        <v>60</v>
      </c>
      <c r="AC12" s="64"/>
      <c r="AD12" s="64"/>
      <c r="AE12" s="64"/>
      <c r="AF12" s="64"/>
      <c r="AG12" s="64"/>
    </row>
    <row r="13" spans="1:33" ht="12.75">
      <c r="A13" s="461" t="s">
        <v>48</v>
      </c>
      <c r="B13" s="464">
        <v>3286</v>
      </c>
      <c r="C13" s="467" t="s">
        <v>61</v>
      </c>
      <c r="D13" s="457">
        <v>10201402</v>
      </c>
      <c r="E13" s="467" t="s">
        <v>62</v>
      </c>
      <c r="F13" s="457" t="s">
        <v>75</v>
      </c>
      <c r="G13" s="457">
        <v>7</v>
      </c>
      <c r="H13" s="467" t="s">
        <v>80</v>
      </c>
      <c r="I13" s="457">
        <v>8760</v>
      </c>
      <c r="J13" s="467" t="s">
        <v>88</v>
      </c>
      <c r="K13" s="457">
        <v>777100</v>
      </c>
      <c r="L13" s="467" t="s">
        <v>87</v>
      </c>
      <c r="M13" s="464">
        <v>669</v>
      </c>
      <c r="N13" s="457" t="s">
        <v>81</v>
      </c>
      <c r="O13" s="457">
        <v>0.005</v>
      </c>
      <c r="P13" s="457">
        <v>0</v>
      </c>
      <c r="Q13" s="457" t="s">
        <v>52</v>
      </c>
      <c r="R13" s="467" t="s">
        <v>772</v>
      </c>
      <c r="S13" s="457">
        <v>99</v>
      </c>
      <c r="T13" s="469"/>
      <c r="U13" s="457">
        <v>0</v>
      </c>
      <c r="V13" s="473">
        <v>0</v>
      </c>
      <c r="W13" s="472">
        <f>Z13*I13/2000</f>
        <v>525.162</v>
      </c>
      <c r="X13" s="469">
        <v>0</v>
      </c>
      <c r="Y13" s="457">
        <v>10</v>
      </c>
      <c r="Z13" s="479">
        <v>119.9</v>
      </c>
      <c r="AA13" s="467" t="s">
        <v>78</v>
      </c>
      <c r="AB13" s="482" t="s">
        <v>60</v>
      </c>
      <c r="AC13" s="64"/>
      <c r="AD13" s="64"/>
      <c r="AE13" s="64"/>
      <c r="AF13" s="64"/>
      <c r="AG13" s="64"/>
    </row>
    <row r="14" spans="1:33" ht="12.75">
      <c r="A14" s="461" t="s">
        <v>48</v>
      </c>
      <c r="B14" s="464">
        <v>3287</v>
      </c>
      <c r="C14" s="467" t="s">
        <v>63</v>
      </c>
      <c r="D14" s="457">
        <v>10200701</v>
      </c>
      <c r="E14" s="467" t="s">
        <v>64</v>
      </c>
      <c r="F14" s="457" t="s">
        <v>75</v>
      </c>
      <c r="G14" s="457">
        <v>8</v>
      </c>
      <c r="H14" s="467" t="s">
        <v>80</v>
      </c>
      <c r="I14" s="457">
        <v>1841.7</v>
      </c>
      <c r="J14" s="467" t="s">
        <v>85</v>
      </c>
      <c r="K14" s="457">
        <v>46.25</v>
      </c>
      <c r="L14" s="467" t="s">
        <v>90</v>
      </c>
      <c r="M14" s="464">
        <v>669</v>
      </c>
      <c r="N14" s="457" t="s">
        <v>81</v>
      </c>
      <c r="O14" s="457">
        <v>0.005</v>
      </c>
      <c r="P14" s="457">
        <v>0</v>
      </c>
      <c r="Q14" s="457" t="s">
        <v>52</v>
      </c>
      <c r="R14" s="467" t="s">
        <v>77</v>
      </c>
      <c r="S14" s="457">
        <v>45</v>
      </c>
      <c r="T14" s="469"/>
      <c r="U14" s="457">
        <v>0</v>
      </c>
      <c r="V14" s="473">
        <v>0</v>
      </c>
      <c r="W14" s="472">
        <f>Z14*I14/2000</f>
        <v>7.191862796833774</v>
      </c>
      <c r="X14" s="469">
        <v>0</v>
      </c>
      <c r="Y14" s="457">
        <v>1</v>
      </c>
      <c r="Z14" s="479">
        <f>K14*64/379</f>
        <v>7.810026385224274</v>
      </c>
      <c r="AA14" s="467" t="s">
        <v>86</v>
      </c>
      <c r="AB14" s="482" t="s">
        <v>53</v>
      </c>
      <c r="AC14" s="64"/>
      <c r="AD14" s="64"/>
      <c r="AE14" s="64"/>
      <c r="AF14" s="64"/>
      <c r="AG14" s="64"/>
    </row>
    <row r="15" spans="1:33" ht="12.75">
      <c r="A15" s="461" t="s">
        <v>48</v>
      </c>
      <c r="B15" s="464">
        <v>3288</v>
      </c>
      <c r="C15" s="467" t="s">
        <v>65</v>
      </c>
      <c r="D15" s="457">
        <v>30600107</v>
      </c>
      <c r="E15" s="467" t="s">
        <v>66</v>
      </c>
      <c r="F15" s="457" t="s">
        <v>76</v>
      </c>
      <c r="G15" s="457">
        <v>9</v>
      </c>
      <c r="H15" s="467" t="s">
        <v>82</v>
      </c>
      <c r="I15" s="457">
        <v>14</v>
      </c>
      <c r="J15" s="467" t="s">
        <v>85</v>
      </c>
      <c r="K15" s="457">
        <v>8760</v>
      </c>
      <c r="L15" s="467" t="s">
        <v>88</v>
      </c>
      <c r="M15" s="464">
        <v>1000</v>
      </c>
      <c r="N15" s="457" t="s">
        <v>81</v>
      </c>
      <c r="O15" s="457">
        <v>0</v>
      </c>
      <c r="P15" s="457">
        <v>0</v>
      </c>
      <c r="Q15" s="457" t="s">
        <v>52</v>
      </c>
      <c r="R15" s="469"/>
      <c r="S15" s="469"/>
      <c r="T15" s="469"/>
      <c r="U15" s="469"/>
      <c r="V15" s="469"/>
      <c r="W15" s="472">
        <f>Z15*I15/2000</f>
        <v>0.0546</v>
      </c>
      <c r="X15" s="469">
        <v>0</v>
      </c>
      <c r="Y15" s="457">
        <v>2</v>
      </c>
      <c r="Z15" s="479">
        <v>7.8</v>
      </c>
      <c r="AA15" s="467" t="s">
        <v>86</v>
      </c>
      <c r="AB15" s="482" t="s">
        <v>53</v>
      </c>
      <c r="AC15" s="70"/>
      <c r="AD15" s="70"/>
      <c r="AE15" s="64"/>
      <c r="AF15" s="64"/>
      <c r="AG15" s="64"/>
    </row>
    <row r="16" spans="1:33" ht="12.75">
      <c r="A16" s="461" t="s">
        <v>48</v>
      </c>
      <c r="B16" s="464">
        <v>3289</v>
      </c>
      <c r="C16" s="467" t="s">
        <v>67</v>
      </c>
      <c r="D16" s="457">
        <v>30600903</v>
      </c>
      <c r="E16" s="467" t="s">
        <v>68</v>
      </c>
      <c r="F16" s="457" t="s">
        <v>76</v>
      </c>
      <c r="G16" s="457">
        <v>10</v>
      </c>
      <c r="H16" s="467" t="s">
        <v>80</v>
      </c>
      <c r="I16" s="457">
        <v>59.7</v>
      </c>
      <c r="J16" s="467" t="s">
        <v>85</v>
      </c>
      <c r="K16" s="457">
        <v>39939</v>
      </c>
      <c r="L16" s="467" t="s">
        <v>87</v>
      </c>
      <c r="M16" s="464">
        <v>669</v>
      </c>
      <c r="N16" s="457" t="s">
        <v>81</v>
      </c>
      <c r="O16" s="457">
        <v>0.005</v>
      </c>
      <c r="P16" s="457">
        <v>0</v>
      </c>
      <c r="Q16" s="457" t="s">
        <v>52</v>
      </c>
      <c r="R16" s="467"/>
      <c r="S16" s="457"/>
      <c r="T16" s="467"/>
      <c r="U16" s="457"/>
      <c r="V16" s="473"/>
      <c r="W16" s="472">
        <v>0.7</v>
      </c>
      <c r="X16" s="469">
        <v>0</v>
      </c>
      <c r="Y16" s="457">
        <v>2</v>
      </c>
      <c r="Z16" s="479">
        <v>7.8</v>
      </c>
      <c r="AA16" s="467" t="s">
        <v>86</v>
      </c>
      <c r="AB16" s="482" t="s">
        <v>53</v>
      </c>
      <c r="AC16" s="70"/>
      <c r="AD16" s="70"/>
      <c r="AE16" s="64"/>
      <c r="AF16" s="64"/>
      <c r="AG16" s="64"/>
    </row>
    <row r="17" spans="1:33" ht="12.75">
      <c r="A17" s="461" t="s">
        <v>48</v>
      </c>
      <c r="B17" s="464">
        <v>3290</v>
      </c>
      <c r="C17" s="467" t="s">
        <v>69</v>
      </c>
      <c r="D17" s="457">
        <v>30600903</v>
      </c>
      <c r="E17" s="467" t="s">
        <v>70</v>
      </c>
      <c r="F17" s="457" t="s">
        <v>76</v>
      </c>
      <c r="G17" s="457">
        <v>11</v>
      </c>
      <c r="H17" s="467" t="s">
        <v>80</v>
      </c>
      <c r="I17" s="457">
        <v>59.7</v>
      </c>
      <c r="J17" s="467" t="s">
        <v>85</v>
      </c>
      <c r="K17" s="457">
        <v>39939</v>
      </c>
      <c r="L17" s="467" t="s">
        <v>87</v>
      </c>
      <c r="M17" s="464">
        <v>669</v>
      </c>
      <c r="N17" s="457" t="s">
        <v>81</v>
      </c>
      <c r="O17" s="457">
        <v>0.005</v>
      </c>
      <c r="P17" s="457">
        <v>0</v>
      </c>
      <c r="Q17" s="457" t="s">
        <v>52</v>
      </c>
      <c r="R17" s="467"/>
      <c r="S17" s="457"/>
      <c r="T17" s="467"/>
      <c r="U17" s="457"/>
      <c r="V17" s="473"/>
      <c r="W17" s="472">
        <f>Z17*I17/2000</f>
        <v>0.23283</v>
      </c>
      <c r="X17" s="469">
        <v>0</v>
      </c>
      <c r="Y17" s="457">
        <v>2</v>
      </c>
      <c r="Z17" s="479">
        <v>7.8</v>
      </c>
      <c r="AA17" s="467" t="s">
        <v>86</v>
      </c>
      <c r="AB17" s="482" t="s">
        <v>71</v>
      </c>
      <c r="AC17" s="70"/>
      <c r="AD17" s="70"/>
      <c r="AE17" s="64"/>
      <c r="AF17" s="64"/>
      <c r="AG17" s="64"/>
    </row>
    <row r="18" spans="1:33" ht="12.75">
      <c r="A18" s="461" t="s">
        <v>48</v>
      </c>
      <c r="B18" s="464">
        <v>4350</v>
      </c>
      <c r="C18" s="467" t="s">
        <v>72</v>
      </c>
      <c r="D18" s="457">
        <v>30600111</v>
      </c>
      <c r="E18" s="467" t="s">
        <v>64</v>
      </c>
      <c r="F18" s="457" t="s">
        <v>75</v>
      </c>
      <c r="G18" s="457">
        <v>0</v>
      </c>
      <c r="H18" s="467" t="s">
        <v>83</v>
      </c>
      <c r="I18" s="469">
        <v>3243</v>
      </c>
      <c r="J18" s="467" t="s">
        <v>89</v>
      </c>
      <c r="K18" s="457"/>
      <c r="L18" s="467"/>
      <c r="M18" s="464">
        <v>141921</v>
      </c>
      <c r="N18" s="457" t="s">
        <v>84</v>
      </c>
      <c r="O18" s="457">
        <v>1.1</v>
      </c>
      <c r="P18" s="457">
        <v>0</v>
      </c>
      <c r="Q18" s="457" t="s">
        <v>52</v>
      </c>
      <c r="R18" s="467"/>
      <c r="S18" s="457"/>
      <c r="T18" s="467"/>
      <c r="U18" s="457"/>
      <c r="V18" s="473"/>
      <c r="W18" s="472">
        <f>Z18*I18/2000</f>
        <v>292.51860000000005</v>
      </c>
      <c r="X18" s="469">
        <v>0</v>
      </c>
      <c r="Y18" s="457">
        <v>5</v>
      </c>
      <c r="Z18" s="479">
        <v>180.4</v>
      </c>
      <c r="AA18" s="467" t="s">
        <v>455</v>
      </c>
      <c r="AB18" s="482" t="s">
        <v>124</v>
      </c>
      <c r="AC18" s="70"/>
      <c r="AD18" s="70"/>
      <c r="AE18" s="64"/>
      <c r="AF18" s="64"/>
      <c r="AG18" s="64"/>
    </row>
    <row r="19" spans="1:33" ht="13.5" thickBot="1">
      <c r="A19" s="462" t="s">
        <v>48</v>
      </c>
      <c r="B19" s="465">
        <v>14661</v>
      </c>
      <c r="C19" s="468" t="s">
        <v>73</v>
      </c>
      <c r="D19" s="459">
        <v>30600903</v>
      </c>
      <c r="E19" s="468" t="s">
        <v>74</v>
      </c>
      <c r="F19" s="459" t="s">
        <v>75</v>
      </c>
      <c r="G19" s="459">
        <v>11</v>
      </c>
      <c r="H19" s="468" t="s">
        <v>82</v>
      </c>
      <c r="I19" s="459">
        <v>119.5</v>
      </c>
      <c r="J19" s="468" t="s">
        <v>85</v>
      </c>
      <c r="K19" s="459"/>
      <c r="L19" s="468"/>
      <c r="M19" s="465">
        <v>1000</v>
      </c>
      <c r="N19" s="459" t="s">
        <v>81</v>
      </c>
      <c r="O19" s="459">
        <v>0</v>
      </c>
      <c r="P19" s="459">
        <v>0</v>
      </c>
      <c r="Q19" s="459" t="s">
        <v>52</v>
      </c>
      <c r="R19" s="468"/>
      <c r="S19" s="459"/>
      <c r="T19" s="468"/>
      <c r="U19" s="459"/>
      <c r="V19" s="474"/>
      <c r="W19" s="476">
        <f>Z19*I19/2000</f>
        <v>0.03585</v>
      </c>
      <c r="X19" s="477">
        <v>0</v>
      </c>
      <c r="Y19" s="458">
        <v>3</v>
      </c>
      <c r="Z19" s="480">
        <v>0.6</v>
      </c>
      <c r="AA19" s="484" t="s">
        <v>86</v>
      </c>
      <c r="AB19" s="483" t="s">
        <v>126</v>
      </c>
      <c r="AC19" s="70"/>
      <c r="AD19" s="70"/>
      <c r="AE19" s="64"/>
      <c r="AF19" s="64"/>
      <c r="AG19" s="64"/>
    </row>
    <row r="20" spans="1:73" ht="13.5" thickBo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70"/>
      <c r="R20" s="64"/>
      <c r="S20" s="64"/>
      <c r="T20" s="70"/>
      <c r="U20" s="64"/>
      <c r="V20" s="442" t="s">
        <v>79</v>
      </c>
      <c r="W20" s="443">
        <f>SUM(W9:W19)</f>
        <v>982.8829401583116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</row>
    <row r="21" spans="3:73" ht="13.5" thickTop="1">
      <c r="C21" s="64" t="s">
        <v>125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0"/>
      <c r="R21" s="64"/>
      <c r="S21" s="64"/>
      <c r="T21" s="70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</row>
    <row r="22" spans="1:73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</row>
    <row r="23" spans="1:73" ht="12.75">
      <c r="A23" s="68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</row>
    <row r="24" spans="1:73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</row>
  </sheetData>
  <mergeCells count="28">
    <mergeCell ref="H6:H8"/>
    <mergeCell ref="I6:L7"/>
    <mergeCell ref="Q6:Q8"/>
    <mergeCell ref="M6:P6"/>
    <mergeCell ref="M7:M8"/>
    <mergeCell ref="N7:N8"/>
    <mergeCell ref="O7:O8"/>
    <mergeCell ref="P7:P8"/>
    <mergeCell ref="A6:A8"/>
    <mergeCell ref="B6:B8"/>
    <mergeCell ref="C6:C8"/>
    <mergeCell ref="AB6:AB8"/>
    <mergeCell ref="R7:R8"/>
    <mergeCell ref="S7:S8"/>
    <mergeCell ref="U7:U8"/>
    <mergeCell ref="T7:T8"/>
    <mergeCell ref="R6:S6"/>
    <mergeCell ref="T6:U6"/>
    <mergeCell ref="Z6:Z8"/>
    <mergeCell ref="AA6:AA8"/>
    <mergeCell ref="D6:D8"/>
    <mergeCell ref="E6:E8"/>
    <mergeCell ref="V6:V8"/>
    <mergeCell ref="W6:W8"/>
    <mergeCell ref="X6:X8"/>
    <mergeCell ref="Y6:Y8"/>
    <mergeCell ref="F6:F8"/>
    <mergeCell ref="G6:G8"/>
  </mergeCells>
  <printOptions/>
  <pageMargins left="0.57" right="0.44" top="1.74" bottom="1" header="0.56" footer="0.5"/>
  <pageSetup horizontalDpi="600" verticalDpi="600" orientation="landscape" r:id="rId1"/>
  <headerFooter alignWithMargins="0">
    <oddHeader>&amp;L
Amoco Petroleum Products
Site Name:  Salt Lake City Refinery
Site ID:  10335&amp;C&amp;"Arial,Bold"Regional Haze
&amp;"Arial,Regular"1996 Statewide SOx Sources
</oddHeader>
    <oddFooter>&amp;R&amp;D
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28"/>
  <sheetViews>
    <sheetView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4" width="13.8515625" style="0" customWidth="1"/>
    <col min="5" max="5" width="21.00390625" style="0" customWidth="1"/>
    <col min="7" max="7" width="11.140625" style="0" customWidth="1"/>
    <col min="8" max="8" width="12.421875" style="0" customWidth="1"/>
    <col min="14" max="14" width="6.851562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8" max="28" width="29.140625" style="0" customWidth="1"/>
  </cols>
  <sheetData>
    <row r="1" spans="1:5" ht="15.75">
      <c r="A1" s="35" t="s">
        <v>395</v>
      </c>
      <c r="B1" s="14"/>
      <c r="E1" s="4" t="s">
        <v>44</v>
      </c>
    </row>
    <row r="2" spans="1:5" ht="15">
      <c r="A2" s="14"/>
      <c r="B2" s="14"/>
      <c r="E2" s="5" t="s">
        <v>91</v>
      </c>
    </row>
    <row r="3" spans="1:3" ht="12.75">
      <c r="A3" s="14" t="s">
        <v>13</v>
      </c>
      <c r="B3" s="14" t="s">
        <v>14</v>
      </c>
      <c r="C3" s="35" t="s">
        <v>396</v>
      </c>
    </row>
    <row r="4" spans="1:2" ht="12.75">
      <c r="A4" s="42">
        <v>10423</v>
      </c>
      <c r="B4" s="14"/>
    </row>
    <row r="5" ht="13.5" thickBot="1"/>
    <row r="6" spans="1:66" ht="16.5" customHeight="1">
      <c r="A6" s="605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70" t="s">
        <v>286</v>
      </c>
      <c r="X6" s="515" t="s">
        <v>34</v>
      </c>
      <c r="Y6" s="503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60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71"/>
      <c r="X7" s="575"/>
      <c r="Y7" s="528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607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82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604"/>
      <c r="X8" s="603"/>
      <c r="Y8" s="490"/>
      <c r="Z8" s="490"/>
      <c r="AA8" s="586"/>
      <c r="AB8" s="58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28" ht="12.75">
      <c r="A9" s="286">
        <v>12</v>
      </c>
      <c r="B9" s="281">
        <v>1173</v>
      </c>
      <c r="C9" s="273">
        <v>2</v>
      </c>
      <c r="D9" s="273">
        <v>20200102</v>
      </c>
      <c r="E9" s="273" t="s">
        <v>210</v>
      </c>
      <c r="F9" s="273" t="s">
        <v>75</v>
      </c>
      <c r="G9" s="273">
        <v>0</v>
      </c>
      <c r="H9" s="273" t="s">
        <v>207</v>
      </c>
      <c r="I9" s="273">
        <v>3120</v>
      </c>
      <c r="J9" s="273" t="s">
        <v>450</v>
      </c>
      <c r="K9" s="273" t="s">
        <v>95</v>
      </c>
      <c r="L9" s="274"/>
      <c r="M9" s="281">
        <v>0</v>
      </c>
      <c r="N9" s="273" t="s">
        <v>95</v>
      </c>
      <c r="O9" s="273">
        <v>0</v>
      </c>
      <c r="P9" s="273">
        <v>0</v>
      </c>
      <c r="Q9" s="273" t="s">
        <v>405</v>
      </c>
      <c r="R9" s="273"/>
      <c r="S9" s="273"/>
      <c r="T9" s="273"/>
      <c r="U9" s="273"/>
      <c r="V9" s="273"/>
      <c r="W9" s="283">
        <f>Z9*I9/2000</f>
        <v>0.28392</v>
      </c>
      <c r="X9" s="281"/>
      <c r="Y9" s="273">
        <v>3</v>
      </c>
      <c r="Z9" s="273">
        <v>0.182</v>
      </c>
      <c r="AA9" s="273" t="s">
        <v>771</v>
      </c>
      <c r="AB9" s="274" t="s">
        <v>406</v>
      </c>
    </row>
    <row r="10" spans="1:39" s="9" customFormat="1" ht="12.75">
      <c r="A10" s="287">
        <v>2</v>
      </c>
      <c r="B10" s="277">
        <v>2410</v>
      </c>
      <c r="C10" s="75">
        <v>3</v>
      </c>
      <c r="D10" s="75">
        <v>30500311</v>
      </c>
      <c r="E10" s="75" t="s">
        <v>399</v>
      </c>
      <c r="F10" s="75" t="s">
        <v>75</v>
      </c>
      <c r="G10" s="75">
        <v>3526</v>
      </c>
      <c r="H10" s="75" t="s">
        <v>400</v>
      </c>
      <c r="I10" s="75">
        <v>64910</v>
      </c>
      <c r="J10" s="75" t="s">
        <v>626</v>
      </c>
      <c r="K10" s="75">
        <v>113245</v>
      </c>
      <c r="L10" s="88" t="s">
        <v>449</v>
      </c>
      <c r="M10" s="277">
        <v>0</v>
      </c>
      <c r="N10" s="75" t="s">
        <v>95</v>
      </c>
      <c r="O10" s="75"/>
      <c r="P10" s="75"/>
      <c r="Q10" s="75" t="s">
        <v>52</v>
      </c>
      <c r="R10" s="75" t="s">
        <v>397</v>
      </c>
      <c r="S10" s="75">
        <v>1</v>
      </c>
      <c r="T10" s="75"/>
      <c r="U10" s="75"/>
      <c r="V10" s="75">
        <v>99</v>
      </c>
      <c r="W10" s="284">
        <f>Z10*I10/2000</f>
        <v>0.19473000000000001</v>
      </c>
      <c r="X10" s="277"/>
      <c r="Y10" s="75">
        <v>1</v>
      </c>
      <c r="Z10" s="75">
        <v>0.006</v>
      </c>
      <c r="AA10" s="75" t="s">
        <v>762</v>
      </c>
      <c r="AB10" s="88" t="s">
        <v>188</v>
      </c>
      <c r="AC10"/>
      <c r="AD10"/>
      <c r="AE10"/>
      <c r="AF10"/>
      <c r="AG10"/>
      <c r="AH10"/>
      <c r="AI10"/>
      <c r="AJ10"/>
      <c r="AK10"/>
      <c r="AL10"/>
      <c r="AM10"/>
    </row>
    <row r="11" spans="1:39" s="9" customFormat="1" ht="12.75">
      <c r="A11" s="287">
        <v>2</v>
      </c>
      <c r="B11" s="277">
        <v>2412</v>
      </c>
      <c r="C11" s="75">
        <v>5</v>
      </c>
      <c r="D11" s="75">
        <v>30500311</v>
      </c>
      <c r="E11" s="75" t="s">
        <v>401</v>
      </c>
      <c r="F11" s="75" t="s">
        <v>75</v>
      </c>
      <c r="G11" s="75">
        <v>3528</v>
      </c>
      <c r="H11" s="75" t="s">
        <v>400</v>
      </c>
      <c r="I11" s="75">
        <v>118922</v>
      </c>
      <c r="J11" s="75" t="s">
        <v>626</v>
      </c>
      <c r="K11" s="75">
        <v>145915</v>
      </c>
      <c r="L11" s="88" t="s">
        <v>449</v>
      </c>
      <c r="M11" s="277">
        <v>0</v>
      </c>
      <c r="N11" s="75" t="s">
        <v>95</v>
      </c>
      <c r="O11" s="75"/>
      <c r="P11" s="75"/>
      <c r="Q11" s="75" t="s">
        <v>52</v>
      </c>
      <c r="R11" s="75" t="s">
        <v>398</v>
      </c>
      <c r="S11" s="75">
        <v>3</v>
      </c>
      <c r="T11" s="75"/>
      <c r="U11" s="75"/>
      <c r="V11" s="75">
        <v>80</v>
      </c>
      <c r="W11" s="284">
        <f>Z11*I11/2000</f>
        <v>70.75859</v>
      </c>
      <c r="X11" s="277"/>
      <c r="Y11" s="75">
        <v>1</v>
      </c>
      <c r="Z11" s="75">
        <v>1.19</v>
      </c>
      <c r="AA11" s="75" t="s">
        <v>763</v>
      </c>
      <c r="AB11" s="88" t="s">
        <v>188</v>
      </c>
      <c r="AC11"/>
      <c r="AD11"/>
      <c r="AE11"/>
      <c r="AF11"/>
      <c r="AG11"/>
      <c r="AH11"/>
      <c r="AI11"/>
      <c r="AJ11"/>
      <c r="AK11"/>
      <c r="AL11"/>
      <c r="AM11"/>
    </row>
    <row r="12" spans="1:28" ht="12.75">
      <c r="A12" s="287">
        <v>2</v>
      </c>
      <c r="B12" s="277">
        <v>12558</v>
      </c>
      <c r="C12" s="75">
        <v>6</v>
      </c>
      <c r="D12" s="75">
        <v>30500311</v>
      </c>
      <c r="E12" s="75" t="s">
        <v>402</v>
      </c>
      <c r="F12" s="75" t="s">
        <v>75</v>
      </c>
      <c r="G12" s="75">
        <v>3529</v>
      </c>
      <c r="H12" s="75" t="s">
        <v>177</v>
      </c>
      <c r="I12" s="75">
        <v>9984</v>
      </c>
      <c r="J12" s="75" t="s">
        <v>407</v>
      </c>
      <c r="K12" s="75">
        <v>35040</v>
      </c>
      <c r="L12" s="88" t="s">
        <v>408</v>
      </c>
      <c r="M12" s="277">
        <v>1000</v>
      </c>
      <c r="N12" s="75" t="s">
        <v>791</v>
      </c>
      <c r="O12" s="75"/>
      <c r="P12" s="75"/>
      <c r="Q12" s="75" t="s">
        <v>405</v>
      </c>
      <c r="R12" s="75"/>
      <c r="S12" s="75"/>
      <c r="T12" s="75"/>
      <c r="U12" s="75"/>
      <c r="V12" s="75"/>
      <c r="W12" s="284">
        <f>Z12*I12/1000/2000</f>
        <v>0.0029951999999999995</v>
      </c>
      <c r="X12" s="277"/>
      <c r="Y12" s="75">
        <v>3</v>
      </c>
      <c r="Z12" s="75">
        <v>0.6</v>
      </c>
      <c r="AA12" s="75" t="s">
        <v>764</v>
      </c>
      <c r="AB12" s="88" t="s">
        <v>403</v>
      </c>
    </row>
    <row r="13" spans="1:28" ht="13.5" thickBot="1">
      <c r="A13" s="288">
        <v>2</v>
      </c>
      <c r="B13" s="278">
        <v>12559</v>
      </c>
      <c r="C13" s="252">
        <v>7</v>
      </c>
      <c r="D13" s="252">
        <v>30500311</v>
      </c>
      <c r="E13" s="252" t="s">
        <v>404</v>
      </c>
      <c r="F13" s="252" t="s">
        <v>75</v>
      </c>
      <c r="G13" s="252">
        <v>3530</v>
      </c>
      <c r="H13" s="252" t="s">
        <v>177</v>
      </c>
      <c r="I13" s="252">
        <v>19968</v>
      </c>
      <c r="J13" s="252" t="s">
        <v>407</v>
      </c>
      <c r="K13" s="252">
        <v>70080</v>
      </c>
      <c r="L13" s="268" t="s">
        <v>408</v>
      </c>
      <c r="M13" s="278">
        <v>1000</v>
      </c>
      <c r="N13" s="252" t="s">
        <v>791</v>
      </c>
      <c r="O13" s="252"/>
      <c r="P13" s="252"/>
      <c r="Q13" s="252" t="s">
        <v>405</v>
      </c>
      <c r="R13" s="252"/>
      <c r="S13" s="252"/>
      <c r="T13" s="252"/>
      <c r="U13" s="252"/>
      <c r="V13" s="252"/>
      <c r="W13" s="285">
        <f>Z13*I13/1000/2000</f>
        <v>0.005990399999999999</v>
      </c>
      <c r="X13" s="278"/>
      <c r="Y13" s="252">
        <v>3</v>
      </c>
      <c r="Z13" s="252">
        <v>0.6</v>
      </c>
      <c r="AA13" s="252" t="s">
        <v>764</v>
      </c>
      <c r="AB13" s="268" t="s">
        <v>403</v>
      </c>
    </row>
    <row r="14" spans="1:39" s="9" customFormat="1" ht="13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445" t="s">
        <v>79</v>
      </c>
      <c r="W14" s="446">
        <f>SUM(W9:W13)</f>
        <v>71.2462256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ht="13.5" thickTop="1">
      <c r="C15" t="s">
        <v>765</v>
      </c>
    </row>
    <row r="16" ht="12.75">
      <c r="C16">
        <v>1173</v>
      </c>
    </row>
    <row r="17" ht="12.75">
      <c r="D17" t="s">
        <v>766</v>
      </c>
    </row>
    <row r="18" ht="12.75">
      <c r="C18">
        <v>2410</v>
      </c>
    </row>
    <row r="19" ht="12.75">
      <c r="D19" t="s">
        <v>767</v>
      </c>
    </row>
    <row r="20" ht="12.75">
      <c r="C20">
        <v>2412</v>
      </c>
    </row>
    <row r="21" ht="12.75">
      <c r="D21" t="s">
        <v>768</v>
      </c>
    </row>
    <row r="22" ht="12.75">
      <c r="D22" t="s">
        <v>812</v>
      </c>
    </row>
    <row r="23" ht="12.75">
      <c r="C23">
        <v>12558</v>
      </c>
    </row>
    <row r="24" ht="12.75">
      <c r="D24" t="s">
        <v>769</v>
      </c>
    </row>
    <row r="25" ht="12.75">
      <c r="C25">
        <v>12559</v>
      </c>
    </row>
    <row r="26" ht="12.75">
      <c r="D26" t="s">
        <v>770</v>
      </c>
    </row>
    <row r="28" ht="12.75">
      <c r="C28" t="s">
        <v>293</v>
      </c>
    </row>
  </sheetData>
  <mergeCells count="24">
    <mergeCell ref="R6:S6"/>
    <mergeCell ref="T6:U6"/>
    <mergeCell ref="R7:R8"/>
    <mergeCell ref="S7:S8"/>
    <mergeCell ref="T7:T8"/>
    <mergeCell ref="U7:U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AB6:AB8"/>
    <mergeCell ref="X6:X8"/>
    <mergeCell ref="Y6:Y8"/>
    <mergeCell ref="Z6:Z8"/>
    <mergeCell ref="AA6:AA8"/>
    <mergeCell ref="V6:V8"/>
    <mergeCell ref="W6:W8"/>
    <mergeCell ref="M6:P7"/>
    <mergeCell ref="Q6:Q8"/>
  </mergeCells>
  <printOptions/>
  <pageMargins left="0.28" right="0.16" top="1.24" bottom="1" header="0.5" footer="0.5"/>
  <pageSetup horizontalDpi="600" verticalDpi="600" orientation="landscape" r:id="rId1"/>
  <headerFooter alignWithMargins="0">
    <oddHeader>&amp;LInterstate Brick Company
Site Name:  Brick Manufacturing Plant
Site ID:  10423&amp;C&amp;"Arial,Bold"Regional Haze&amp;"Arial,Regular"
1996 Statewide SOx Sources</oddHeader>
    <oddFooter>&amp;R&amp;D
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N30"/>
  <sheetViews>
    <sheetView workbookViewId="0" topLeftCell="A1">
      <selection activeCell="A1" sqref="A1"/>
    </sheetView>
  </sheetViews>
  <sheetFormatPr defaultColWidth="9.140625" defaultRowHeight="12.75"/>
  <cols>
    <col min="1" max="2" width="7.421875" style="9" customWidth="1"/>
    <col min="3" max="3" width="16.57421875" style="9" customWidth="1"/>
    <col min="4" max="4" width="9.00390625" style="9" customWidth="1"/>
    <col min="5" max="5" width="25.8515625" style="9" customWidth="1"/>
    <col min="6" max="6" width="8.421875" style="9" customWidth="1"/>
    <col min="7" max="7" width="11.140625" style="9" customWidth="1"/>
    <col min="8" max="8" width="17.140625" style="9" customWidth="1"/>
    <col min="9" max="9" width="8.57421875" style="9" customWidth="1"/>
    <col min="10" max="10" width="9.57421875" style="9" customWidth="1"/>
    <col min="11" max="11" width="9.140625" style="9" customWidth="1"/>
    <col min="12" max="12" width="6.00390625" style="9" customWidth="1"/>
    <col min="13" max="13" width="8.421875" style="9" customWidth="1"/>
    <col min="14" max="14" width="8.28125" style="9" customWidth="1"/>
    <col min="15" max="15" width="7.00390625" style="9" customWidth="1"/>
    <col min="16" max="16" width="6.140625" style="9" customWidth="1"/>
    <col min="17" max="17" width="9.140625" style="9" customWidth="1"/>
    <col min="18" max="18" width="20.7109375" style="9" customWidth="1"/>
    <col min="19" max="19" width="9.140625" style="9" customWidth="1"/>
    <col min="20" max="20" width="19.8515625" style="9" customWidth="1"/>
    <col min="21" max="21" width="9.140625" style="9" customWidth="1"/>
    <col min="22" max="23" width="9.8515625" style="9" customWidth="1"/>
    <col min="24" max="24" width="11.57421875" style="9" customWidth="1"/>
    <col min="25" max="26" width="9.140625" style="9" customWidth="1"/>
    <col min="27" max="27" width="15.7109375" style="9" customWidth="1"/>
    <col min="28" max="28" width="46.421875" style="9" customWidth="1"/>
    <col min="29" max="16384" width="9.140625" style="9" customWidth="1"/>
  </cols>
  <sheetData>
    <row r="1" spans="1:5" ht="15.75">
      <c r="A1" s="11" t="s">
        <v>11</v>
      </c>
      <c r="B1" s="11"/>
      <c r="E1" s="4" t="s">
        <v>44</v>
      </c>
    </row>
    <row r="2" spans="1:5" ht="15">
      <c r="A2" s="11"/>
      <c r="B2" s="11"/>
      <c r="E2" s="5" t="s">
        <v>7</v>
      </c>
    </row>
    <row r="3" spans="1:24" ht="12.75">
      <c r="A3" s="11" t="s">
        <v>13</v>
      </c>
      <c r="B3" s="11" t="s">
        <v>14</v>
      </c>
      <c r="C3" s="9" t="s">
        <v>12</v>
      </c>
      <c r="X3" s="295"/>
    </row>
    <row r="4" spans="1:2" ht="12.75">
      <c r="A4" s="11">
        <v>10346</v>
      </c>
      <c r="B4" s="11"/>
    </row>
    <row r="5" ht="13.5" thickBot="1"/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82" t="s">
        <v>286</v>
      </c>
      <c r="X6" s="573" t="s">
        <v>34</v>
      </c>
      <c r="Y6" s="515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83"/>
      <c r="X7" s="574"/>
      <c r="Y7" s="575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82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588"/>
      <c r="X8" s="587"/>
      <c r="Y8" s="603"/>
      <c r="Z8" s="490"/>
      <c r="AA8" s="586"/>
      <c r="AB8" s="58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28" ht="12.75">
      <c r="A9" s="296" t="s">
        <v>48</v>
      </c>
      <c r="B9" s="297">
        <v>13968</v>
      </c>
      <c r="C9" s="291" t="s">
        <v>412</v>
      </c>
      <c r="D9" s="290">
        <v>30500599</v>
      </c>
      <c r="E9" s="291" t="s">
        <v>413</v>
      </c>
      <c r="F9" s="290" t="s">
        <v>75</v>
      </c>
      <c r="G9" s="290">
        <v>3765</v>
      </c>
      <c r="H9" s="291" t="s">
        <v>414</v>
      </c>
      <c r="I9" s="290">
        <v>1013</v>
      </c>
      <c r="J9" s="291" t="s">
        <v>460</v>
      </c>
      <c r="K9" s="290">
        <v>0</v>
      </c>
      <c r="L9" s="298">
        <v>0</v>
      </c>
      <c r="M9" s="297">
        <v>0</v>
      </c>
      <c r="N9" s="290">
        <v>0</v>
      </c>
      <c r="O9" s="290">
        <v>0</v>
      </c>
      <c r="P9" s="290">
        <v>0</v>
      </c>
      <c r="Q9" s="291" t="s">
        <v>52</v>
      </c>
      <c r="R9" s="291" t="s">
        <v>459</v>
      </c>
      <c r="S9" s="291">
        <v>1</v>
      </c>
      <c r="T9" s="291"/>
      <c r="U9" s="291"/>
      <c r="V9" s="291"/>
      <c r="W9" s="292">
        <f>Z9*I9/2000</f>
        <v>3.29225</v>
      </c>
      <c r="X9" s="298"/>
      <c r="Y9" s="297">
        <v>5</v>
      </c>
      <c r="Z9" s="290">
        <v>6.5</v>
      </c>
      <c r="AA9" s="291" t="s">
        <v>388</v>
      </c>
      <c r="AB9" s="293" t="s">
        <v>51</v>
      </c>
    </row>
    <row r="10" spans="1:28" ht="12.75">
      <c r="A10" s="116" t="s">
        <v>48</v>
      </c>
      <c r="B10" s="118">
        <v>13969</v>
      </c>
      <c r="C10" s="106" t="s">
        <v>415</v>
      </c>
      <c r="D10" s="107">
        <v>30300512</v>
      </c>
      <c r="E10" s="106" t="s">
        <v>416</v>
      </c>
      <c r="F10" s="107" t="s">
        <v>76</v>
      </c>
      <c r="G10" s="107">
        <v>3763</v>
      </c>
      <c r="H10" s="106" t="s">
        <v>417</v>
      </c>
      <c r="I10" s="107">
        <v>8784</v>
      </c>
      <c r="J10" s="106" t="s">
        <v>460</v>
      </c>
      <c r="K10" s="107">
        <v>0</v>
      </c>
      <c r="L10" s="299">
        <v>0</v>
      </c>
      <c r="M10" s="118" t="s">
        <v>51</v>
      </c>
      <c r="N10" s="107">
        <v>0</v>
      </c>
      <c r="O10" s="107">
        <v>0</v>
      </c>
      <c r="P10" s="107">
        <v>0</v>
      </c>
      <c r="Q10" s="106" t="s">
        <v>52</v>
      </c>
      <c r="R10" s="106" t="s">
        <v>461</v>
      </c>
      <c r="S10" s="106">
        <v>10</v>
      </c>
      <c r="T10" s="106" t="s">
        <v>462</v>
      </c>
      <c r="U10" s="106">
        <v>1</v>
      </c>
      <c r="V10" s="106"/>
      <c r="W10" s="289">
        <f>Z10*I10/2000</f>
        <v>1054.9584</v>
      </c>
      <c r="X10" s="299">
        <v>35</v>
      </c>
      <c r="Y10" s="118">
        <v>10</v>
      </c>
      <c r="Z10" s="107">
        <v>240.2</v>
      </c>
      <c r="AA10" s="106" t="s">
        <v>388</v>
      </c>
      <c r="AB10" s="111" t="s">
        <v>464</v>
      </c>
    </row>
    <row r="11" spans="1:28" ht="12.75">
      <c r="A11" s="116" t="s">
        <v>48</v>
      </c>
      <c r="B11" s="118">
        <v>13976</v>
      </c>
      <c r="C11" s="106" t="s">
        <v>418</v>
      </c>
      <c r="D11" s="107">
        <v>30300505</v>
      </c>
      <c r="E11" s="106" t="s">
        <v>419</v>
      </c>
      <c r="F11" s="107" t="s">
        <v>75</v>
      </c>
      <c r="G11" s="107">
        <v>3763</v>
      </c>
      <c r="H11" s="106" t="s">
        <v>420</v>
      </c>
      <c r="I11" s="107">
        <v>8784</v>
      </c>
      <c r="J11" s="106" t="s">
        <v>460</v>
      </c>
      <c r="K11" s="107">
        <v>0</v>
      </c>
      <c r="L11" s="299">
        <v>0</v>
      </c>
      <c r="M11" s="118">
        <v>0</v>
      </c>
      <c r="N11" s="107">
        <v>0</v>
      </c>
      <c r="O11" s="107">
        <v>0</v>
      </c>
      <c r="P11" s="107">
        <v>0</v>
      </c>
      <c r="Q11" s="106" t="s">
        <v>52</v>
      </c>
      <c r="R11" s="106" t="s">
        <v>463</v>
      </c>
      <c r="S11" s="106">
        <v>13</v>
      </c>
      <c r="T11" s="106"/>
      <c r="U11" s="106"/>
      <c r="V11" s="107">
        <v>99</v>
      </c>
      <c r="W11" s="289"/>
      <c r="X11" s="299" t="s">
        <v>51</v>
      </c>
      <c r="Y11" s="118" t="s">
        <v>51</v>
      </c>
      <c r="Z11" s="107" t="s">
        <v>51</v>
      </c>
      <c r="AA11" s="106">
        <v>0</v>
      </c>
      <c r="AB11" s="111" t="s">
        <v>421</v>
      </c>
    </row>
    <row r="12" spans="1:28" ht="12.75">
      <c r="A12" s="116" t="s">
        <v>48</v>
      </c>
      <c r="B12" s="118">
        <v>13978</v>
      </c>
      <c r="C12" s="106" t="s">
        <v>422</v>
      </c>
      <c r="D12" s="107">
        <v>30300599</v>
      </c>
      <c r="E12" s="106" t="s">
        <v>423</v>
      </c>
      <c r="F12" s="107" t="s">
        <v>75</v>
      </c>
      <c r="G12" s="107">
        <v>3763</v>
      </c>
      <c r="H12" s="106" t="s">
        <v>424</v>
      </c>
      <c r="I12" s="107">
        <v>0</v>
      </c>
      <c r="J12" s="106" t="s">
        <v>95</v>
      </c>
      <c r="K12" s="107">
        <v>0</v>
      </c>
      <c r="L12" s="299">
        <v>0</v>
      </c>
      <c r="M12" s="118">
        <v>0</v>
      </c>
      <c r="N12" s="107">
        <v>0</v>
      </c>
      <c r="O12" s="107">
        <v>0</v>
      </c>
      <c r="P12" s="107">
        <v>0</v>
      </c>
      <c r="Q12" s="106" t="s">
        <v>52</v>
      </c>
      <c r="R12" s="106"/>
      <c r="S12" s="106"/>
      <c r="T12" s="106"/>
      <c r="U12" s="106"/>
      <c r="V12" s="107"/>
      <c r="W12" s="289"/>
      <c r="X12" s="299" t="s">
        <v>51</v>
      </c>
      <c r="Y12" s="118" t="s">
        <v>51</v>
      </c>
      <c r="Z12" s="107" t="s">
        <v>51</v>
      </c>
      <c r="AA12" s="106">
        <v>0</v>
      </c>
      <c r="AB12" s="111" t="s">
        <v>425</v>
      </c>
    </row>
    <row r="13" spans="1:28" ht="12.75">
      <c r="A13" s="116" t="s">
        <v>48</v>
      </c>
      <c r="B13" s="118">
        <v>13983</v>
      </c>
      <c r="C13" s="106" t="s">
        <v>426</v>
      </c>
      <c r="D13" s="107">
        <v>30300599</v>
      </c>
      <c r="E13" s="106" t="s">
        <v>427</v>
      </c>
      <c r="F13" s="107" t="s">
        <v>75</v>
      </c>
      <c r="G13" s="107">
        <v>3764</v>
      </c>
      <c r="H13" s="106" t="s">
        <v>177</v>
      </c>
      <c r="I13" s="107">
        <v>3.008</v>
      </c>
      <c r="J13" s="106" t="s">
        <v>788</v>
      </c>
      <c r="K13" s="107"/>
      <c r="L13" s="299"/>
      <c r="M13" s="118">
        <v>1043</v>
      </c>
      <c r="N13" s="107" t="s">
        <v>81</v>
      </c>
      <c r="O13" s="107">
        <v>0</v>
      </c>
      <c r="P13" s="107">
        <v>0</v>
      </c>
      <c r="Q13" s="106" t="s">
        <v>52</v>
      </c>
      <c r="R13" s="106"/>
      <c r="S13" s="106"/>
      <c r="T13" s="106"/>
      <c r="U13" s="106"/>
      <c r="V13" s="107"/>
      <c r="W13" s="289">
        <f aca="true" t="shared" si="0" ref="W13:W18">Z13*I13/2000</f>
        <v>0.0009024</v>
      </c>
      <c r="X13" s="299" t="s">
        <v>51</v>
      </c>
      <c r="Y13" s="118">
        <v>3</v>
      </c>
      <c r="Z13" s="107">
        <v>0.6</v>
      </c>
      <c r="AA13" s="106">
        <v>0</v>
      </c>
      <c r="AB13" s="111" t="s">
        <v>51</v>
      </c>
    </row>
    <row r="14" spans="1:28" ht="12.75">
      <c r="A14" s="116" t="s">
        <v>48</v>
      </c>
      <c r="B14" s="118">
        <v>13993</v>
      </c>
      <c r="C14" s="106" t="s">
        <v>428</v>
      </c>
      <c r="D14" s="107">
        <v>10200602</v>
      </c>
      <c r="E14" s="106" t="s">
        <v>429</v>
      </c>
      <c r="F14" s="107" t="s">
        <v>76</v>
      </c>
      <c r="G14" s="107">
        <v>0</v>
      </c>
      <c r="H14" s="106" t="s">
        <v>430</v>
      </c>
      <c r="I14" s="107">
        <v>432.5</v>
      </c>
      <c r="J14" s="106" t="s">
        <v>788</v>
      </c>
      <c r="K14" s="107">
        <v>0</v>
      </c>
      <c r="L14" s="299">
        <v>0</v>
      </c>
      <c r="M14" s="118">
        <v>0</v>
      </c>
      <c r="N14" s="107">
        <v>0</v>
      </c>
      <c r="O14" s="107">
        <v>0</v>
      </c>
      <c r="P14" s="107">
        <v>0</v>
      </c>
      <c r="Q14" s="106" t="s">
        <v>52</v>
      </c>
      <c r="R14" s="67"/>
      <c r="S14" s="67"/>
      <c r="T14" s="106"/>
      <c r="U14" s="106"/>
      <c r="V14" s="107"/>
      <c r="W14" s="289">
        <f t="shared" si="0"/>
        <v>0.12975</v>
      </c>
      <c r="X14" s="299">
        <v>0</v>
      </c>
      <c r="Y14" s="118">
        <v>3</v>
      </c>
      <c r="Z14" s="107">
        <v>0.6</v>
      </c>
      <c r="AA14" s="106" t="s">
        <v>458</v>
      </c>
      <c r="AB14" s="111" t="s">
        <v>51</v>
      </c>
    </row>
    <row r="15" spans="1:28" ht="12.75">
      <c r="A15" s="116" t="s">
        <v>48</v>
      </c>
      <c r="B15" s="118">
        <v>13994</v>
      </c>
      <c r="C15" s="106" t="s">
        <v>431</v>
      </c>
      <c r="D15" s="107">
        <v>10200602</v>
      </c>
      <c r="E15" s="106" t="s">
        <v>429</v>
      </c>
      <c r="F15" s="107" t="s">
        <v>76</v>
      </c>
      <c r="G15" s="107">
        <v>0</v>
      </c>
      <c r="H15" s="106" t="s">
        <v>83</v>
      </c>
      <c r="I15" s="107">
        <v>27.6</v>
      </c>
      <c r="J15" s="106" t="s">
        <v>465</v>
      </c>
      <c r="K15" s="107">
        <v>0</v>
      </c>
      <c r="L15" s="299">
        <v>0</v>
      </c>
      <c r="M15" s="118">
        <v>0</v>
      </c>
      <c r="N15" s="107">
        <v>0</v>
      </c>
      <c r="O15" s="107">
        <v>0</v>
      </c>
      <c r="P15" s="107">
        <v>0</v>
      </c>
      <c r="Q15" s="106" t="s">
        <v>52</v>
      </c>
      <c r="R15" s="106"/>
      <c r="S15" s="106"/>
      <c r="T15" s="106"/>
      <c r="U15" s="106"/>
      <c r="V15" s="107"/>
      <c r="W15" s="289">
        <f t="shared" si="0"/>
        <v>0.39192</v>
      </c>
      <c r="X15" s="299">
        <v>0</v>
      </c>
      <c r="Y15" s="118">
        <v>3</v>
      </c>
      <c r="Z15" s="107">
        <v>28.4</v>
      </c>
      <c r="AA15" s="106" t="s">
        <v>466</v>
      </c>
      <c r="AB15" s="111" t="s">
        <v>51</v>
      </c>
    </row>
    <row r="16" spans="1:28" ht="12.75">
      <c r="A16" s="116" t="s">
        <v>48</v>
      </c>
      <c r="B16" s="118">
        <v>13998</v>
      </c>
      <c r="C16" s="106" t="s">
        <v>432</v>
      </c>
      <c r="D16" s="107">
        <v>30300599</v>
      </c>
      <c r="E16" s="106" t="s">
        <v>433</v>
      </c>
      <c r="F16" s="107" t="s">
        <v>75</v>
      </c>
      <c r="G16" s="107">
        <v>3776</v>
      </c>
      <c r="H16" s="106" t="s">
        <v>95</v>
      </c>
      <c r="I16" s="107">
        <v>8784</v>
      </c>
      <c r="J16" s="106" t="s">
        <v>460</v>
      </c>
      <c r="K16" s="107">
        <v>0</v>
      </c>
      <c r="L16" s="299">
        <v>0</v>
      </c>
      <c r="M16" s="118">
        <v>0</v>
      </c>
      <c r="N16" s="107">
        <v>0</v>
      </c>
      <c r="O16" s="107">
        <v>0</v>
      </c>
      <c r="P16" s="107">
        <v>0</v>
      </c>
      <c r="Q16" s="106" t="s">
        <v>52</v>
      </c>
      <c r="R16" s="106" t="s">
        <v>467</v>
      </c>
      <c r="S16" s="106">
        <v>13</v>
      </c>
      <c r="T16" s="106"/>
      <c r="U16" s="106"/>
      <c r="V16" s="107">
        <v>99</v>
      </c>
      <c r="W16" s="289">
        <f t="shared" si="0"/>
        <v>0.008784</v>
      </c>
      <c r="X16" s="299">
        <v>0</v>
      </c>
      <c r="Y16" s="118">
        <v>1</v>
      </c>
      <c r="Z16" s="107">
        <v>0.002</v>
      </c>
      <c r="AA16" s="106" t="s">
        <v>468</v>
      </c>
      <c r="AB16" s="111" t="s">
        <v>51</v>
      </c>
    </row>
    <row r="17" spans="1:28" ht="12.75">
      <c r="A17" s="116" t="s">
        <v>65</v>
      </c>
      <c r="B17" s="118">
        <v>14085</v>
      </c>
      <c r="C17" s="106" t="s">
        <v>434</v>
      </c>
      <c r="D17" s="107">
        <v>10500106</v>
      </c>
      <c r="E17" s="106" t="s">
        <v>435</v>
      </c>
      <c r="F17" s="107" t="s">
        <v>75</v>
      </c>
      <c r="G17" s="107">
        <v>0</v>
      </c>
      <c r="H17" s="106" t="s">
        <v>430</v>
      </c>
      <c r="I17" s="107">
        <v>20</v>
      </c>
      <c r="J17" s="106" t="s">
        <v>788</v>
      </c>
      <c r="K17" s="107">
        <v>0</v>
      </c>
      <c r="L17" s="299">
        <v>0</v>
      </c>
      <c r="M17" s="118">
        <v>0</v>
      </c>
      <c r="N17" s="107">
        <v>0</v>
      </c>
      <c r="O17" s="107">
        <v>0</v>
      </c>
      <c r="P17" s="107">
        <v>0</v>
      </c>
      <c r="Q17" s="106" t="s">
        <v>52</v>
      </c>
      <c r="R17" s="106"/>
      <c r="S17" s="106"/>
      <c r="T17" s="106"/>
      <c r="U17" s="106"/>
      <c r="V17" s="107"/>
      <c r="W17" s="289">
        <f t="shared" si="0"/>
        <v>0.006</v>
      </c>
      <c r="X17" s="299" t="s">
        <v>51</v>
      </c>
      <c r="Y17" s="118">
        <v>3</v>
      </c>
      <c r="Z17" s="107">
        <v>0.6</v>
      </c>
      <c r="AA17" s="106" t="s">
        <v>458</v>
      </c>
      <c r="AB17" s="111" t="s">
        <v>51</v>
      </c>
    </row>
    <row r="18" spans="1:28" ht="12.75">
      <c r="A18" s="116" t="s">
        <v>65</v>
      </c>
      <c r="B18" s="118">
        <v>14086</v>
      </c>
      <c r="C18" s="106" t="s">
        <v>436</v>
      </c>
      <c r="D18" s="107">
        <v>10200603</v>
      </c>
      <c r="E18" s="106" t="s">
        <v>437</v>
      </c>
      <c r="F18" s="107" t="s">
        <v>75</v>
      </c>
      <c r="G18" s="107">
        <v>0</v>
      </c>
      <c r="H18" s="106" t="s">
        <v>430</v>
      </c>
      <c r="I18" s="107">
        <v>10</v>
      </c>
      <c r="J18" s="106" t="s">
        <v>788</v>
      </c>
      <c r="K18" s="107">
        <v>0</v>
      </c>
      <c r="L18" s="299">
        <v>0</v>
      </c>
      <c r="M18" s="118">
        <v>0</v>
      </c>
      <c r="N18" s="107">
        <v>0</v>
      </c>
      <c r="O18" s="107">
        <v>0</v>
      </c>
      <c r="P18" s="107">
        <v>0</v>
      </c>
      <c r="Q18" s="106" t="s">
        <v>52</v>
      </c>
      <c r="R18" s="106"/>
      <c r="S18" s="106"/>
      <c r="T18" s="106"/>
      <c r="U18" s="106"/>
      <c r="V18" s="107"/>
      <c r="W18" s="289">
        <f t="shared" si="0"/>
        <v>0.003</v>
      </c>
      <c r="X18" s="299" t="s">
        <v>51</v>
      </c>
      <c r="Y18" s="118">
        <v>3</v>
      </c>
      <c r="Z18" s="107">
        <v>0.6</v>
      </c>
      <c r="AA18" s="106" t="s">
        <v>458</v>
      </c>
      <c r="AB18" s="111" t="s">
        <v>51</v>
      </c>
    </row>
    <row r="19" spans="1:28" ht="12.75">
      <c r="A19" s="116" t="s">
        <v>173</v>
      </c>
      <c r="B19" s="118">
        <v>14095</v>
      </c>
      <c r="C19" s="106" t="s">
        <v>438</v>
      </c>
      <c r="D19" s="107">
        <v>20200102</v>
      </c>
      <c r="E19" s="106" t="s">
        <v>439</v>
      </c>
      <c r="F19" s="107" t="s">
        <v>75</v>
      </c>
      <c r="G19" s="107">
        <v>0</v>
      </c>
      <c r="H19" s="106" t="s">
        <v>207</v>
      </c>
      <c r="I19" s="107">
        <v>52</v>
      </c>
      <c r="J19" s="106" t="s">
        <v>460</v>
      </c>
      <c r="K19" s="107">
        <v>2000</v>
      </c>
      <c r="L19" s="299" t="s">
        <v>470</v>
      </c>
      <c r="M19" s="118">
        <v>0</v>
      </c>
      <c r="N19" s="107">
        <v>0</v>
      </c>
      <c r="O19" s="107">
        <v>0</v>
      </c>
      <c r="P19" s="107">
        <v>0</v>
      </c>
      <c r="Q19" s="106" t="s">
        <v>52</v>
      </c>
      <c r="R19" s="67"/>
      <c r="S19" s="67"/>
      <c r="T19" s="106"/>
      <c r="U19" s="106"/>
      <c r="V19" s="107">
        <v>99</v>
      </c>
      <c r="W19" s="289">
        <f>Z19*I19*K19*0.0011023</f>
        <v>0.028201243200000007</v>
      </c>
      <c r="X19" s="299" t="s">
        <v>51</v>
      </c>
      <c r="Y19" s="118">
        <v>3</v>
      </c>
      <c r="Z19" s="107">
        <v>0.000246</v>
      </c>
      <c r="AA19" s="106" t="s">
        <v>469</v>
      </c>
      <c r="AB19" s="111" t="s">
        <v>471</v>
      </c>
    </row>
    <row r="20" spans="1:28" ht="12.75">
      <c r="A20" s="116" t="s">
        <v>173</v>
      </c>
      <c r="B20" s="118">
        <v>14096</v>
      </c>
      <c r="C20" s="106" t="s">
        <v>440</v>
      </c>
      <c r="D20" s="107">
        <v>20200102</v>
      </c>
      <c r="E20" s="106" t="s">
        <v>439</v>
      </c>
      <c r="F20" s="107" t="s">
        <v>75</v>
      </c>
      <c r="G20" s="107">
        <v>0</v>
      </c>
      <c r="H20" s="106" t="s">
        <v>207</v>
      </c>
      <c r="I20" s="107">
        <v>52</v>
      </c>
      <c r="J20" s="106" t="s">
        <v>460</v>
      </c>
      <c r="K20" s="107">
        <v>2000</v>
      </c>
      <c r="L20" s="299" t="s">
        <v>470</v>
      </c>
      <c r="M20" s="118">
        <v>0</v>
      </c>
      <c r="N20" s="107">
        <v>0</v>
      </c>
      <c r="O20" s="107">
        <v>0</v>
      </c>
      <c r="P20" s="107">
        <v>0</v>
      </c>
      <c r="Q20" s="106" t="s">
        <v>52</v>
      </c>
      <c r="R20" s="106"/>
      <c r="S20" s="106"/>
      <c r="T20" s="106"/>
      <c r="U20" s="106"/>
      <c r="V20" s="106"/>
      <c r="W20" s="289">
        <f>Z20*I20*K20*0.0011023</f>
        <v>0.028201243200000007</v>
      </c>
      <c r="X20" s="299" t="s">
        <v>51</v>
      </c>
      <c r="Y20" s="118">
        <v>3</v>
      </c>
      <c r="Z20" s="107">
        <v>0.000246</v>
      </c>
      <c r="AA20" s="106" t="s">
        <v>469</v>
      </c>
      <c r="AB20" s="111" t="s">
        <v>471</v>
      </c>
    </row>
    <row r="21" spans="1:28" ht="12.75">
      <c r="A21" s="116" t="s">
        <v>173</v>
      </c>
      <c r="B21" s="118">
        <v>14097</v>
      </c>
      <c r="C21" s="106" t="s">
        <v>441</v>
      </c>
      <c r="D21" s="107">
        <v>20200102</v>
      </c>
      <c r="E21" s="106" t="s">
        <v>439</v>
      </c>
      <c r="F21" s="107" t="s">
        <v>75</v>
      </c>
      <c r="G21" s="107">
        <v>0</v>
      </c>
      <c r="H21" s="106" t="s">
        <v>207</v>
      </c>
      <c r="I21" s="107">
        <v>168</v>
      </c>
      <c r="J21" s="106" t="s">
        <v>460</v>
      </c>
      <c r="K21" s="107">
        <v>261</v>
      </c>
      <c r="L21" s="299" t="s">
        <v>470</v>
      </c>
      <c r="M21" s="118">
        <v>0</v>
      </c>
      <c r="N21" s="107">
        <v>0</v>
      </c>
      <c r="O21" s="107">
        <v>0</v>
      </c>
      <c r="P21" s="107">
        <v>0</v>
      </c>
      <c r="Q21" s="106" t="s">
        <v>52</v>
      </c>
      <c r="R21" s="106"/>
      <c r="S21" s="106"/>
      <c r="T21" s="106"/>
      <c r="U21" s="106"/>
      <c r="V21" s="106"/>
      <c r="W21" s="289">
        <f>Z21*I21*K21*0.0011023</f>
        <v>0.0602237283984</v>
      </c>
      <c r="X21" s="299" t="s">
        <v>51</v>
      </c>
      <c r="Y21" s="118">
        <v>3</v>
      </c>
      <c r="Z21" s="107">
        <v>0.001246</v>
      </c>
      <c r="AA21" s="106" t="s">
        <v>472</v>
      </c>
      <c r="AB21" s="111" t="s">
        <v>471</v>
      </c>
    </row>
    <row r="22" spans="1:28" ht="12.75">
      <c r="A22" s="116" t="s">
        <v>173</v>
      </c>
      <c r="B22" s="118">
        <v>14105</v>
      </c>
      <c r="C22" s="106" t="s">
        <v>442</v>
      </c>
      <c r="D22" s="107">
        <v>20300102</v>
      </c>
      <c r="E22" s="106" t="s">
        <v>443</v>
      </c>
      <c r="F22" s="107" t="s">
        <v>75</v>
      </c>
      <c r="G22" s="107">
        <v>0</v>
      </c>
      <c r="H22" s="106" t="s">
        <v>207</v>
      </c>
      <c r="I22" s="107">
        <v>55</v>
      </c>
      <c r="J22" s="106" t="s">
        <v>460</v>
      </c>
      <c r="K22" s="107">
        <v>488</v>
      </c>
      <c r="L22" s="299" t="s">
        <v>474</v>
      </c>
      <c r="M22" s="118">
        <v>0</v>
      </c>
      <c r="N22" s="107">
        <v>0</v>
      </c>
      <c r="O22" s="107">
        <v>0</v>
      </c>
      <c r="P22" s="107">
        <v>0</v>
      </c>
      <c r="Q22" s="106" t="s">
        <v>52</v>
      </c>
      <c r="R22" s="106"/>
      <c r="S22" s="106"/>
      <c r="T22" s="106"/>
      <c r="U22" s="106"/>
      <c r="V22" s="106"/>
      <c r="W22" s="289">
        <f>(Z22*(I22*K22)/1000)/2000</f>
        <v>0.028182</v>
      </c>
      <c r="X22" s="299" t="s">
        <v>51</v>
      </c>
      <c r="Y22" s="118">
        <v>3</v>
      </c>
      <c r="Z22" s="107">
        <v>2.1</v>
      </c>
      <c r="AA22" s="106" t="s">
        <v>473</v>
      </c>
      <c r="AB22" s="111" t="s">
        <v>475</v>
      </c>
    </row>
    <row r="23" spans="1:28" ht="12.75">
      <c r="A23" s="116" t="s">
        <v>65</v>
      </c>
      <c r="B23" s="118">
        <v>14180</v>
      </c>
      <c r="C23" s="106" t="s">
        <v>444</v>
      </c>
      <c r="D23" s="107">
        <v>30300510</v>
      </c>
      <c r="E23" s="106" t="s">
        <v>445</v>
      </c>
      <c r="F23" s="107" t="s">
        <v>75</v>
      </c>
      <c r="G23" s="107">
        <v>0</v>
      </c>
      <c r="H23" s="106" t="s">
        <v>95</v>
      </c>
      <c r="I23" s="107">
        <v>8784</v>
      </c>
      <c r="J23" s="106" t="s">
        <v>460</v>
      </c>
      <c r="K23" s="107">
        <v>0</v>
      </c>
      <c r="L23" s="299">
        <v>0</v>
      </c>
      <c r="M23" s="118">
        <v>0</v>
      </c>
      <c r="N23" s="107">
        <v>0</v>
      </c>
      <c r="O23" s="107">
        <v>0</v>
      </c>
      <c r="P23" s="107">
        <v>0</v>
      </c>
      <c r="Q23" s="106" t="s">
        <v>52</v>
      </c>
      <c r="R23" s="106"/>
      <c r="S23" s="106"/>
      <c r="T23" s="106"/>
      <c r="U23" s="106"/>
      <c r="V23" s="106"/>
      <c r="W23" s="289">
        <f>Z23*I23/2000</f>
        <v>496.296</v>
      </c>
      <c r="X23" s="299" t="s">
        <v>51</v>
      </c>
      <c r="Y23" s="118">
        <v>5</v>
      </c>
      <c r="Z23" s="107">
        <v>113</v>
      </c>
      <c r="AA23" s="106" t="s">
        <v>388</v>
      </c>
      <c r="AB23" s="111" t="s">
        <v>476</v>
      </c>
    </row>
    <row r="24" spans="1:28" ht="13.5" thickBot="1">
      <c r="A24" s="117" t="s">
        <v>48</v>
      </c>
      <c r="B24" s="119">
        <v>14524</v>
      </c>
      <c r="C24" s="112" t="s">
        <v>446</v>
      </c>
      <c r="D24" s="113">
        <v>10200603</v>
      </c>
      <c r="E24" s="112" t="s">
        <v>447</v>
      </c>
      <c r="F24" s="113" t="s">
        <v>75</v>
      </c>
      <c r="G24" s="113">
        <v>0</v>
      </c>
      <c r="H24" s="112" t="s">
        <v>177</v>
      </c>
      <c r="I24" s="113">
        <v>10</v>
      </c>
      <c r="J24" s="112" t="s">
        <v>788</v>
      </c>
      <c r="K24" s="113">
        <v>0</v>
      </c>
      <c r="L24" s="300">
        <v>0</v>
      </c>
      <c r="M24" s="119">
        <v>1043</v>
      </c>
      <c r="N24" s="113" t="s">
        <v>81</v>
      </c>
      <c r="O24" s="113">
        <v>0</v>
      </c>
      <c r="P24" s="113">
        <v>0</v>
      </c>
      <c r="Q24" s="112" t="s">
        <v>52</v>
      </c>
      <c r="R24" s="112"/>
      <c r="S24" s="112"/>
      <c r="T24" s="112"/>
      <c r="U24" s="112"/>
      <c r="V24" s="112"/>
      <c r="W24" s="294">
        <f>Z24*I24/2000</f>
        <v>0.003</v>
      </c>
      <c r="X24" s="300" t="s">
        <v>51</v>
      </c>
      <c r="Y24" s="119">
        <v>3</v>
      </c>
      <c r="Z24" s="113">
        <v>0.6</v>
      </c>
      <c r="AA24" s="112" t="s">
        <v>458</v>
      </c>
      <c r="AB24" s="115" t="s">
        <v>51</v>
      </c>
    </row>
    <row r="25" spans="22:23" ht="13.5" thickBot="1">
      <c r="V25" s="442" t="s">
        <v>409</v>
      </c>
      <c r="W25" s="450">
        <f>SUM(W9:W24)</f>
        <v>1555.2348146147988</v>
      </c>
    </row>
    <row r="26" ht="13.5" thickTop="1">
      <c r="C26" s="9" t="s">
        <v>477</v>
      </c>
    </row>
    <row r="30" spans="1:15" ht="12.75">
      <c r="A30" s="6"/>
      <c r="B30" s="6"/>
      <c r="C30" s="7"/>
      <c r="D30" s="7"/>
      <c r="E30" s="6"/>
      <c r="F30" s="7"/>
      <c r="G30" s="7"/>
      <c r="H30" s="6"/>
      <c r="I30" s="6"/>
      <c r="J30" s="8"/>
      <c r="K30" s="7"/>
      <c r="L30" s="7"/>
      <c r="M30" s="6"/>
      <c r="N30" s="7"/>
      <c r="O30" s="6"/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6:U6"/>
    <mergeCell ref="V6:V8"/>
    <mergeCell ref="W6:W8"/>
    <mergeCell ref="U7:U8"/>
    <mergeCell ref="T7:T8"/>
    <mergeCell ref="AB6:AB8"/>
    <mergeCell ref="X6:X8"/>
    <mergeCell ref="Y6:Y8"/>
    <mergeCell ref="Z6:Z8"/>
    <mergeCell ref="AA6:AA8"/>
  </mergeCells>
  <printOptions/>
  <pageMargins left="0.18" right="0.16" top="1.56" bottom="1" header="0.5" footer="0.5"/>
  <pageSetup horizontalDpi="600" verticalDpi="600" orientation="landscape" r:id="rId3"/>
  <headerFooter alignWithMargins="0">
    <oddHeader>&amp;L
Kennecott Utah Copper Corp.
Site Name:  Smelter, Refinery, Lab
Site ID:  10346&amp;CRegional Haze
1996 Statewide SOx Source</oddHeader>
    <oddFooter>&amp;R&amp;D
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30"/>
  <sheetViews>
    <sheetView workbookViewId="0" topLeftCell="A1">
      <selection activeCell="A1" sqref="A1"/>
    </sheetView>
  </sheetViews>
  <sheetFormatPr defaultColWidth="9.140625" defaultRowHeight="12.75"/>
  <cols>
    <col min="1" max="2" width="7.140625" style="0" customWidth="1"/>
    <col min="3" max="3" width="8.421875" style="0" customWidth="1"/>
    <col min="4" max="4" width="9.00390625" style="0" customWidth="1"/>
    <col min="5" max="5" width="17.00390625" style="0" customWidth="1"/>
    <col min="6" max="6" width="8.28125" style="0" customWidth="1"/>
    <col min="7" max="7" width="10.57421875" style="0" customWidth="1"/>
    <col min="8" max="8" width="14.421875" style="0" customWidth="1"/>
    <col min="10" max="10" width="13.7109375" style="0" customWidth="1"/>
    <col min="11" max="11" width="7.140625" style="0" customWidth="1"/>
    <col min="14" max="14" width="6.57421875" style="0" customWidth="1"/>
    <col min="15" max="15" width="6.7109375" style="0" customWidth="1"/>
    <col min="16" max="16" width="5.00390625" style="0" customWidth="1"/>
    <col min="18" max="18" width="15.28125" style="0" customWidth="1"/>
    <col min="19" max="19" width="9.421875" style="0" customWidth="1"/>
    <col min="20" max="20" width="11.421875" style="0" customWidth="1"/>
    <col min="22" max="22" width="9.7109375" style="0" customWidth="1"/>
    <col min="23" max="23" width="2.00390625" style="0" customWidth="1"/>
    <col min="24" max="25" width="11.7109375" style="0" customWidth="1"/>
    <col min="27" max="27" width="1.8515625" style="0" customWidth="1"/>
    <col min="29" max="29" width="16.140625" style="0" customWidth="1"/>
    <col min="30" max="30" width="29.140625" style="0" customWidth="1"/>
  </cols>
  <sheetData>
    <row r="1" spans="1:5" s="9" customFormat="1" ht="15.75">
      <c r="A1" s="11" t="s">
        <v>11</v>
      </c>
      <c r="B1" s="11"/>
      <c r="E1" s="4" t="s">
        <v>44</v>
      </c>
    </row>
    <row r="2" spans="1:5" s="9" customFormat="1" ht="15">
      <c r="A2" s="11"/>
      <c r="B2" s="11"/>
      <c r="E2" s="5" t="s">
        <v>7</v>
      </c>
    </row>
    <row r="3" spans="1:3" s="9" customFormat="1" ht="12.75">
      <c r="A3" s="11" t="s">
        <v>13</v>
      </c>
      <c r="B3" s="11" t="s">
        <v>14</v>
      </c>
      <c r="C3" s="9" t="s">
        <v>478</v>
      </c>
    </row>
    <row r="4" spans="1:2" s="9" customFormat="1" ht="12.75">
      <c r="A4" s="11">
        <v>10572</v>
      </c>
      <c r="B4" s="11"/>
    </row>
    <row r="5" ht="13.5" thickBot="1">
      <c r="D5" s="44"/>
    </row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84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611" t="s">
        <v>286</v>
      </c>
      <c r="X6" s="609"/>
      <c r="Y6" s="503" t="s">
        <v>34</v>
      </c>
      <c r="Z6" s="503" t="s">
        <v>36</v>
      </c>
      <c r="AA6" s="608" t="s">
        <v>37</v>
      </c>
      <c r="AB6" s="609"/>
      <c r="AC6" s="503" t="s">
        <v>38</v>
      </c>
      <c r="AD6" s="573" t="s">
        <v>39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5"/>
      <c r="N7" s="577"/>
      <c r="O7" s="577"/>
      <c r="P7" s="577"/>
      <c r="Q7" s="572"/>
      <c r="R7" s="528" t="s">
        <v>41</v>
      </c>
      <c r="S7" s="528" t="s">
        <v>33</v>
      </c>
      <c r="T7" s="528" t="s">
        <v>813</v>
      </c>
      <c r="U7" s="528" t="s">
        <v>33</v>
      </c>
      <c r="V7" s="528"/>
      <c r="W7" s="554"/>
      <c r="X7" s="610"/>
      <c r="Y7" s="528"/>
      <c r="Z7" s="528"/>
      <c r="AA7" s="554"/>
      <c r="AB7" s="610"/>
      <c r="AC7" s="572"/>
      <c r="AD7" s="57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18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554"/>
      <c r="X8" s="610"/>
      <c r="Y8" s="490"/>
      <c r="Z8" s="490"/>
      <c r="AA8" s="554"/>
      <c r="AB8" s="610"/>
      <c r="AC8" s="586"/>
      <c r="AD8" s="587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30" ht="12.75">
      <c r="A9" s="304" t="s">
        <v>48</v>
      </c>
      <c r="B9" s="305">
        <v>4038</v>
      </c>
      <c r="C9" s="306" t="s">
        <v>479</v>
      </c>
      <c r="D9" s="305">
        <v>10200201</v>
      </c>
      <c r="E9" s="306" t="s">
        <v>480</v>
      </c>
      <c r="F9" s="305" t="s">
        <v>75</v>
      </c>
      <c r="G9" s="305">
        <v>1310</v>
      </c>
      <c r="H9" s="306" t="s">
        <v>100</v>
      </c>
      <c r="I9" s="305">
        <v>475704</v>
      </c>
      <c r="J9" s="305" t="s">
        <v>510</v>
      </c>
      <c r="K9" s="305" t="s">
        <v>51</v>
      </c>
      <c r="L9" s="305">
        <v>0</v>
      </c>
      <c r="M9" s="305">
        <v>11482</v>
      </c>
      <c r="N9" s="305" t="s">
        <v>516</v>
      </c>
      <c r="O9" s="305">
        <v>0.35</v>
      </c>
      <c r="P9" s="305" t="s">
        <v>51</v>
      </c>
      <c r="Q9" s="306" t="s">
        <v>52</v>
      </c>
      <c r="R9" s="306" t="s">
        <v>506</v>
      </c>
      <c r="S9" s="306">
        <v>99</v>
      </c>
      <c r="T9" s="306"/>
      <c r="U9" s="306"/>
      <c r="V9" s="306">
        <v>99</v>
      </c>
      <c r="W9" s="305"/>
      <c r="X9" s="307">
        <f aca="true" t="shared" si="0" ref="X9:X16">AB9*I9/2000</f>
        <v>461.43288</v>
      </c>
      <c r="Y9" s="305">
        <v>0</v>
      </c>
      <c r="Z9" s="305">
        <v>1</v>
      </c>
      <c r="AA9" s="305" t="s">
        <v>454</v>
      </c>
      <c r="AB9" s="305">
        <v>1.94</v>
      </c>
      <c r="AC9" s="305" t="s">
        <v>511</v>
      </c>
      <c r="AD9" s="308" t="s">
        <v>509</v>
      </c>
    </row>
    <row r="10" spans="1:30" ht="12.75">
      <c r="A10" s="309" t="s">
        <v>48</v>
      </c>
      <c r="B10" s="302">
        <v>4039</v>
      </c>
      <c r="C10" s="301" t="s">
        <v>481</v>
      </c>
      <c r="D10" s="302">
        <v>10200601</v>
      </c>
      <c r="E10" s="301" t="s">
        <v>482</v>
      </c>
      <c r="F10" s="302" t="s">
        <v>75</v>
      </c>
      <c r="G10" s="302">
        <v>1311</v>
      </c>
      <c r="H10" s="301" t="s">
        <v>177</v>
      </c>
      <c r="I10" s="302">
        <v>318.8</v>
      </c>
      <c r="J10" s="302" t="s">
        <v>512</v>
      </c>
      <c r="K10" s="302" t="s">
        <v>51</v>
      </c>
      <c r="L10" s="302">
        <v>0</v>
      </c>
      <c r="M10" s="302">
        <v>1043</v>
      </c>
      <c r="N10" s="302" t="s">
        <v>514</v>
      </c>
      <c r="O10" s="302" t="s">
        <v>51</v>
      </c>
      <c r="P10" s="302" t="s">
        <v>51</v>
      </c>
      <c r="Q10" s="301" t="s">
        <v>52</v>
      </c>
      <c r="R10" s="301"/>
      <c r="S10" s="301"/>
      <c r="T10" s="301"/>
      <c r="U10" s="301"/>
      <c r="V10" s="301"/>
      <c r="W10" s="302"/>
      <c r="X10" s="303">
        <f t="shared" si="0"/>
        <v>0.09564</v>
      </c>
      <c r="Y10" s="302">
        <v>0</v>
      </c>
      <c r="Z10" s="302">
        <v>3</v>
      </c>
      <c r="AA10" s="302"/>
      <c r="AB10" s="302">
        <v>0.6</v>
      </c>
      <c r="AC10" s="302" t="s">
        <v>513</v>
      </c>
      <c r="AD10" s="310" t="s">
        <v>51</v>
      </c>
    </row>
    <row r="11" spans="1:30" ht="12.75">
      <c r="A11" s="309" t="s">
        <v>48</v>
      </c>
      <c r="B11" s="302">
        <v>4040</v>
      </c>
      <c r="C11" s="301" t="s">
        <v>483</v>
      </c>
      <c r="D11" s="302">
        <v>10200201</v>
      </c>
      <c r="E11" s="301" t="s">
        <v>489</v>
      </c>
      <c r="F11" s="302" t="s">
        <v>75</v>
      </c>
      <c r="G11" s="302">
        <v>1312</v>
      </c>
      <c r="H11" s="301" t="s">
        <v>100</v>
      </c>
      <c r="I11" s="302">
        <v>316975</v>
      </c>
      <c r="J11" s="302" t="s">
        <v>510</v>
      </c>
      <c r="K11" s="302" t="s">
        <v>51</v>
      </c>
      <c r="L11" s="302">
        <v>0</v>
      </c>
      <c r="M11" s="302">
        <v>11882</v>
      </c>
      <c r="N11" s="302" t="s">
        <v>516</v>
      </c>
      <c r="O11" s="302">
        <v>0.35</v>
      </c>
      <c r="P11" s="302" t="s">
        <v>51</v>
      </c>
      <c r="Q11" s="301" t="s">
        <v>52</v>
      </c>
      <c r="R11" s="301" t="s">
        <v>506</v>
      </c>
      <c r="S11" s="301">
        <v>99</v>
      </c>
      <c r="T11" s="301"/>
      <c r="U11" s="301"/>
      <c r="V11" s="301">
        <v>99</v>
      </c>
      <c r="W11" s="302"/>
      <c r="X11" s="303">
        <f t="shared" si="0"/>
        <v>307.46575</v>
      </c>
      <c r="Y11" s="302">
        <v>0</v>
      </c>
      <c r="Z11" s="302">
        <v>1</v>
      </c>
      <c r="AA11" s="302" t="s">
        <v>454</v>
      </c>
      <c r="AB11" s="302">
        <v>1.94</v>
      </c>
      <c r="AC11" s="302" t="s">
        <v>511</v>
      </c>
      <c r="AD11" s="310" t="s">
        <v>51</v>
      </c>
    </row>
    <row r="12" spans="1:30" ht="12.75">
      <c r="A12" s="309" t="s">
        <v>48</v>
      </c>
      <c r="B12" s="302">
        <v>4041</v>
      </c>
      <c r="C12" s="301" t="s">
        <v>484</v>
      </c>
      <c r="D12" s="302">
        <v>10200201</v>
      </c>
      <c r="E12" s="301" t="s">
        <v>485</v>
      </c>
      <c r="F12" s="302" t="s">
        <v>75</v>
      </c>
      <c r="G12" s="302">
        <v>1314</v>
      </c>
      <c r="H12" s="301" t="s">
        <v>100</v>
      </c>
      <c r="I12" s="302">
        <v>470793</v>
      </c>
      <c r="J12" s="302" t="s">
        <v>510</v>
      </c>
      <c r="K12" s="302" t="s">
        <v>51</v>
      </c>
      <c r="L12" s="302">
        <v>0</v>
      </c>
      <c r="M12" s="302">
        <v>11482</v>
      </c>
      <c r="N12" s="302" t="s">
        <v>516</v>
      </c>
      <c r="O12" s="302">
        <v>0.35</v>
      </c>
      <c r="P12" s="302" t="s">
        <v>51</v>
      </c>
      <c r="Q12" s="301" t="s">
        <v>52</v>
      </c>
      <c r="R12" s="301" t="s">
        <v>506</v>
      </c>
      <c r="S12" s="301">
        <v>99</v>
      </c>
      <c r="T12" s="301"/>
      <c r="U12" s="301"/>
      <c r="V12" s="301">
        <v>99</v>
      </c>
      <c r="W12" s="302"/>
      <c r="X12" s="303">
        <f t="shared" si="0"/>
        <v>456.66920999999996</v>
      </c>
      <c r="Y12" s="302">
        <v>0</v>
      </c>
      <c r="Z12" s="302">
        <v>1</v>
      </c>
      <c r="AA12" s="302" t="s">
        <v>454</v>
      </c>
      <c r="AB12" s="302">
        <v>1.94</v>
      </c>
      <c r="AC12" s="302" t="s">
        <v>511</v>
      </c>
      <c r="AD12" s="310" t="s">
        <v>51</v>
      </c>
    </row>
    <row r="13" spans="1:30" ht="12.75">
      <c r="A13" s="309" t="s">
        <v>48</v>
      </c>
      <c r="B13" s="302">
        <v>4042</v>
      </c>
      <c r="C13" s="301" t="s">
        <v>486</v>
      </c>
      <c r="D13" s="302">
        <v>10100202</v>
      </c>
      <c r="E13" s="301" t="s">
        <v>487</v>
      </c>
      <c r="F13" s="302" t="s">
        <v>75</v>
      </c>
      <c r="G13" s="302">
        <v>1316</v>
      </c>
      <c r="H13" s="301" t="s">
        <v>100</v>
      </c>
      <c r="I13" s="302">
        <v>943824</v>
      </c>
      <c r="J13" s="302" t="s">
        <v>510</v>
      </c>
      <c r="K13" s="302" t="s">
        <v>51</v>
      </c>
      <c r="L13" s="302">
        <v>0</v>
      </c>
      <c r="M13" s="302">
        <v>11482</v>
      </c>
      <c r="N13" s="302" t="s">
        <v>516</v>
      </c>
      <c r="O13" s="302">
        <v>0.35</v>
      </c>
      <c r="P13" s="302" t="s">
        <v>51</v>
      </c>
      <c r="Q13" s="301" t="s">
        <v>52</v>
      </c>
      <c r="R13" s="301" t="s">
        <v>506</v>
      </c>
      <c r="S13" s="301">
        <v>99</v>
      </c>
      <c r="T13" s="301"/>
      <c r="U13" s="301"/>
      <c r="V13" s="301">
        <v>99</v>
      </c>
      <c r="W13" s="302"/>
      <c r="X13" s="303">
        <f t="shared" si="0"/>
        <v>915.50928</v>
      </c>
      <c r="Y13" s="302">
        <v>0</v>
      </c>
      <c r="Z13" s="302">
        <v>1</v>
      </c>
      <c r="AA13" s="302" t="s">
        <v>454</v>
      </c>
      <c r="AB13" s="302">
        <v>1.94</v>
      </c>
      <c r="AC13" s="302" t="s">
        <v>511</v>
      </c>
      <c r="AD13" s="310" t="s">
        <v>51</v>
      </c>
    </row>
    <row r="14" spans="1:30" ht="12.75">
      <c r="A14" s="309" t="s">
        <v>48</v>
      </c>
      <c r="B14" s="302">
        <v>4043</v>
      </c>
      <c r="C14" s="301" t="s">
        <v>488</v>
      </c>
      <c r="D14" s="302">
        <v>10200601</v>
      </c>
      <c r="E14" s="301" t="s">
        <v>489</v>
      </c>
      <c r="F14" s="302" t="s">
        <v>75</v>
      </c>
      <c r="G14" s="302">
        <v>1313</v>
      </c>
      <c r="H14" s="301" t="s">
        <v>177</v>
      </c>
      <c r="I14" s="302">
        <v>179.4</v>
      </c>
      <c r="J14" s="302" t="s">
        <v>512</v>
      </c>
      <c r="K14" s="302" t="s">
        <v>51</v>
      </c>
      <c r="L14" s="302">
        <v>0</v>
      </c>
      <c r="M14" s="302">
        <v>1043</v>
      </c>
      <c r="N14" s="302" t="s">
        <v>514</v>
      </c>
      <c r="O14" s="302" t="s">
        <v>51</v>
      </c>
      <c r="P14" s="302" t="s">
        <v>51</v>
      </c>
      <c r="Q14" s="301" t="s">
        <v>52</v>
      </c>
      <c r="R14" s="301"/>
      <c r="S14" s="301"/>
      <c r="T14" s="301"/>
      <c r="U14" s="301"/>
      <c r="V14" s="301"/>
      <c r="W14" s="302"/>
      <c r="X14" s="303">
        <f t="shared" si="0"/>
        <v>0.05382</v>
      </c>
      <c r="Y14" s="302">
        <v>0</v>
      </c>
      <c r="Z14" s="302">
        <v>3</v>
      </c>
      <c r="AA14" s="302"/>
      <c r="AB14" s="302">
        <v>0.6</v>
      </c>
      <c r="AC14" s="302" t="s">
        <v>513</v>
      </c>
      <c r="AD14" s="310" t="s">
        <v>51</v>
      </c>
    </row>
    <row r="15" spans="1:30" ht="12.75">
      <c r="A15" s="309" t="s">
        <v>48</v>
      </c>
      <c r="B15" s="302">
        <v>4044</v>
      </c>
      <c r="C15" s="301" t="s">
        <v>490</v>
      </c>
      <c r="D15" s="302">
        <v>10200601</v>
      </c>
      <c r="E15" s="301" t="s">
        <v>485</v>
      </c>
      <c r="F15" s="302" t="s">
        <v>75</v>
      </c>
      <c r="G15" s="302">
        <v>1315</v>
      </c>
      <c r="H15" s="301" t="s">
        <v>177</v>
      </c>
      <c r="I15" s="302">
        <v>124.1</v>
      </c>
      <c r="J15" s="302" t="s">
        <v>512</v>
      </c>
      <c r="K15" s="302" t="s">
        <v>51</v>
      </c>
      <c r="L15" s="302">
        <v>0</v>
      </c>
      <c r="M15" s="302">
        <v>1043</v>
      </c>
      <c r="N15" s="302" t="s">
        <v>514</v>
      </c>
      <c r="O15" s="302" t="s">
        <v>51</v>
      </c>
      <c r="P15" s="302" t="s">
        <v>51</v>
      </c>
      <c r="Q15" s="301" t="s">
        <v>52</v>
      </c>
      <c r="R15" s="301"/>
      <c r="S15" s="301"/>
      <c r="T15" s="301"/>
      <c r="U15" s="301"/>
      <c r="V15" s="301"/>
      <c r="W15" s="302"/>
      <c r="X15" s="303">
        <f t="shared" si="0"/>
        <v>0.03723</v>
      </c>
      <c r="Y15" s="302">
        <v>0</v>
      </c>
      <c r="Z15" s="302">
        <v>3</v>
      </c>
      <c r="AA15" s="302"/>
      <c r="AB15" s="302">
        <v>0.6</v>
      </c>
      <c r="AC15" s="302" t="s">
        <v>513</v>
      </c>
      <c r="AD15" s="310" t="s">
        <v>51</v>
      </c>
    </row>
    <row r="16" spans="1:30" ht="12.75">
      <c r="A16" s="309" t="s">
        <v>48</v>
      </c>
      <c r="B16" s="302">
        <v>4045</v>
      </c>
      <c r="C16" s="301" t="s">
        <v>491</v>
      </c>
      <c r="D16" s="302">
        <v>10100202</v>
      </c>
      <c r="E16" s="301" t="s">
        <v>492</v>
      </c>
      <c r="F16" s="302" t="s">
        <v>75</v>
      </c>
      <c r="G16" s="302">
        <v>1317</v>
      </c>
      <c r="H16" s="301" t="s">
        <v>177</v>
      </c>
      <c r="I16" s="302">
        <v>147</v>
      </c>
      <c r="J16" s="302" t="s">
        <v>512</v>
      </c>
      <c r="K16" s="302" t="s">
        <v>51</v>
      </c>
      <c r="L16" s="302">
        <v>0</v>
      </c>
      <c r="M16" s="302">
        <v>1043</v>
      </c>
      <c r="N16" s="302" t="s">
        <v>514</v>
      </c>
      <c r="O16" s="302" t="s">
        <v>51</v>
      </c>
      <c r="P16" s="302" t="s">
        <v>51</v>
      </c>
      <c r="Q16" s="301" t="s">
        <v>52</v>
      </c>
      <c r="R16" s="301"/>
      <c r="S16" s="301"/>
      <c r="T16" s="301"/>
      <c r="U16" s="301"/>
      <c r="V16" s="301"/>
      <c r="W16" s="302"/>
      <c r="X16" s="303">
        <f t="shared" si="0"/>
        <v>0.0441</v>
      </c>
      <c r="Y16" s="302">
        <v>0</v>
      </c>
      <c r="Z16" s="302">
        <v>3</v>
      </c>
      <c r="AA16" s="302"/>
      <c r="AB16" s="302">
        <v>0.6</v>
      </c>
      <c r="AC16" s="302" t="s">
        <v>513</v>
      </c>
      <c r="AD16" s="310" t="s">
        <v>51</v>
      </c>
    </row>
    <row r="17" spans="1:30" ht="12.75">
      <c r="A17" s="309" t="s">
        <v>48</v>
      </c>
      <c r="B17" s="302">
        <v>13943</v>
      </c>
      <c r="C17" s="301" t="s">
        <v>493</v>
      </c>
      <c r="D17" s="302">
        <v>10200601</v>
      </c>
      <c r="E17" s="301" t="s">
        <v>494</v>
      </c>
      <c r="F17" s="302" t="s">
        <v>75</v>
      </c>
      <c r="G17" s="302">
        <v>0</v>
      </c>
      <c r="H17" s="301" t="s">
        <v>177</v>
      </c>
      <c r="I17" s="302">
        <v>8784</v>
      </c>
      <c r="J17" s="302" t="s">
        <v>460</v>
      </c>
      <c r="K17" s="302">
        <v>20.1</v>
      </c>
      <c r="L17" s="302" t="s">
        <v>515</v>
      </c>
      <c r="M17" s="302">
        <v>1043</v>
      </c>
      <c r="N17" s="302" t="s">
        <v>514</v>
      </c>
      <c r="O17" s="302">
        <v>0</v>
      </c>
      <c r="P17" s="302">
        <v>0</v>
      </c>
      <c r="Q17" s="301" t="s">
        <v>52</v>
      </c>
      <c r="R17" s="301"/>
      <c r="S17" s="301"/>
      <c r="T17" s="301"/>
      <c r="U17" s="301"/>
      <c r="V17" s="301"/>
      <c r="W17" s="302" t="s">
        <v>520</v>
      </c>
      <c r="X17" s="303">
        <f>(((I17*K17)/M17)*AB17)/2000</f>
        <v>0.05078381591562801</v>
      </c>
      <c r="Y17" s="302">
        <v>0</v>
      </c>
      <c r="Z17" s="302">
        <v>3</v>
      </c>
      <c r="AA17" s="302"/>
      <c r="AB17" s="302">
        <v>0.6</v>
      </c>
      <c r="AC17" s="302" t="s">
        <v>513</v>
      </c>
      <c r="AD17" s="310" t="s">
        <v>51</v>
      </c>
    </row>
    <row r="18" spans="1:30" ht="12.75">
      <c r="A18" s="309" t="s">
        <v>48</v>
      </c>
      <c r="B18" s="302">
        <v>13944</v>
      </c>
      <c r="C18" s="301" t="s">
        <v>495</v>
      </c>
      <c r="D18" s="302">
        <v>10200601</v>
      </c>
      <c r="E18" s="301" t="s">
        <v>494</v>
      </c>
      <c r="F18" s="302" t="s">
        <v>75</v>
      </c>
      <c r="G18" s="302">
        <v>0</v>
      </c>
      <c r="H18" s="301" t="s">
        <v>177</v>
      </c>
      <c r="I18" s="302">
        <v>8784</v>
      </c>
      <c r="J18" s="302" t="s">
        <v>460</v>
      </c>
      <c r="K18" s="302">
        <v>20.1</v>
      </c>
      <c r="L18" s="302" t="s">
        <v>515</v>
      </c>
      <c r="M18" s="302">
        <v>1043</v>
      </c>
      <c r="N18" s="302" t="s">
        <v>516</v>
      </c>
      <c r="O18" s="302">
        <v>0</v>
      </c>
      <c r="P18" s="302">
        <v>0</v>
      </c>
      <c r="Q18" s="301" t="s">
        <v>52</v>
      </c>
      <c r="R18" s="301"/>
      <c r="S18" s="301"/>
      <c r="T18" s="301"/>
      <c r="U18" s="301"/>
      <c r="V18" s="301"/>
      <c r="W18" s="302" t="s">
        <v>520</v>
      </c>
      <c r="X18" s="303">
        <f>(((I18*K18)/M18)*AB18)/2000</f>
        <v>0.05078381591562801</v>
      </c>
      <c r="Y18" s="302">
        <v>0</v>
      </c>
      <c r="Z18" s="302">
        <v>3</v>
      </c>
      <c r="AA18" s="302"/>
      <c r="AB18" s="302">
        <v>0.6</v>
      </c>
      <c r="AC18" s="302" t="s">
        <v>513</v>
      </c>
      <c r="AD18" s="310" t="s">
        <v>51</v>
      </c>
    </row>
    <row r="19" spans="1:30" ht="12.75">
      <c r="A19" s="309" t="s">
        <v>48</v>
      </c>
      <c r="B19" s="302">
        <v>14148</v>
      </c>
      <c r="C19" s="301" t="s">
        <v>496</v>
      </c>
      <c r="D19" s="302">
        <v>10200601</v>
      </c>
      <c r="E19" s="301" t="s">
        <v>494</v>
      </c>
      <c r="F19" s="302" t="s">
        <v>75</v>
      </c>
      <c r="G19" s="302">
        <v>0</v>
      </c>
      <c r="H19" s="301" t="s">
        <v>177</v>
      </c>
      <c r="I19" s="302">
        <v>5124</v>
      </c>
      <c r="J19" s="302" t="s">
        <v>460</v>
      </c>
      <c r="K19" s="302">
        <v>7.133</v>
      </c>
      <c r="L19" s="302" t="s">
        <v>515</v>
      </c>
      <c r="M19" s="302">
        <v>1043</v>
      </c>
      <c r="N19" s="302" t="s">
        <v>514</v>
      </c>
      <c r="O19" s="302">
        <v>0</v>
      </c>
      <c r="P19" s="302">
        <v>0</v>
      </c>
      <c r="Q19" s="301" t="s">
        <v>52</v>
      </c>
      <c r="R19" s="301"/>
      <c r="S19" s="301"/>
      <c r="T19" s="301"/>
      <c r="U19" s="301"/>
      <c r="V19" s="301"/>
      <c r="W19" s="302" t="s">
        <v>520</v>
      </c>
      <c r="X19" s="303">
        <f>(((I19*K19)/M19)*AB19)/2000</f>
        <v>0.01051279731543624</v>
      </c>
      <c r="Y19" s="302">
        <v>0</v>
      </c>
      <c r="Z19" s="302">
        <v>3</v>
      </c>
      <c r="AA19" s="302"/>
      <c r="AB19" s="302">
        <v>0.6</v>
      </c>
      <c r="AC19" s="302" t="s">
        <v>513</v>
      </c>
      <c r="AD19" s="310" t="s">
        <v>51</v>
      </c>
    </row>
    <row r="20" spans="1:30" ht="13.5" thickBot="1">
      <c r="A20" s="311" t="s">
        <v>173</v>
      </c>
      <c r="B20" s="312">
        <v>16405</v>
      </c>
      <c r="C20" s="313" t="s">
        <v>497</v>
      </c>
      <c r="D20" s="312">
        <v>10200101</v>
      </c>
      <c r="E20" s="313" t="s">
        <v>498</v>
      </c>
      <c r="F20" s="312" t="s">
        <v>75</v>
      </c>
      <c r="G20" s="312">
        <v>0</v>
      </c>
      <c r="H20" s="313" t="s">
        <v>95</v>
      </c>
      <c r="I20" s="312">
        <v>0</v>
      </c>
      <c r="J20" s="312" t="s">
        <v>460</v>
      </c>
      <c r="K20" s="312">
        <v>0</v>
      </c>
      <c r="L20" s="312">
        <v>0</v>
      </c>
      <c r="M20" s="312">
        <v>0</v>
      </c>
      <c r="N20" s="312">
        <v>0</v>
      </c>
      <c r="O20" s="312">
        <v>0</v>
      </c>
      <c r="P20" s="312">
        <v>0</v>
      </c>
      <c r="Q20" s="313" t="s">
        <v>52</v>
      </c>
      <c r="R20" s="313"/>
      <c r="S20" s="313"/>
      <c r="T20" s="313"/>
      <c r="U20" s="313"/>
      <c r="V20" s="313"/>
      <c r="W20" s="312"/>
      <c r="X20" s="314">
        <v>0</v>
      </c>
      <c r="Y20" s="312" t="s">
        <v>51</v>
      </c>
      <c r="Z20" s="312">
        <v>3</v>
      </c>
      <c r="AA20" s="312"/>
      <c r="AB20" s="312">
        <v>0.000588</v>
      </c>
      <c r="AC20" s="312">
        <v>0</v>
      </c>
      <c r="AD20" s="315" t="s">
        <v>519</v>
      </c>
    </row>
    <row r="21" spans="22:24" ht="13.5" thickBot="1">
      <c r="V21" s="445" t="s">
        <v>409</v>
      </c>
      <c r="W21" s="451"/>
      <c r="X21" s="452">
        <f>SUM(X9:X20)</f>
        <v>2141.4199904291468</v>
      </c>
    </row>
    <row r="22" ht="13.5" thickTop="1">
      <c r="C22" s="14" t="s">
        <v>45</v>
      </c>
    </row>
    <row r="23" spans="3:18" s="9" customFormat="1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3:18" s="9" customFormat="1" ht="12.75">
      <c r="C24" t="s">
        <v>518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3:18" s="9" customFormat="1" ht="12.75">
      <c r="C25" t="s">
        <v>507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3:18" s="9" customFormat="1" ht="12.75">
      <c r="C26" t="s">
        <v>508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3:18" s="9" customFormat="1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ht="12.75">
      <c r="C28" t="s">
        <v>517</v>
      </c>
    </row>
    <row r="30" ht="12.75">
      <c r="C30" t="s">
        <v>521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6:U6"/>
    <mergeCell ref="V6:V8"/>
    <mergeCell ref="Y6:Y8"/>
    <mergeCell ref="U7:U8"/>
    <mergeCell ref="T7:T8"/>
    <mergeCell ref="W6:X8"/>
    <mergeCell ref="Z6:Z8"/>
    <mergeCell ref="AD6:AD8"/>
    <mergeCell ref="AC6:AC8"/>
    <mergeCell ref="AA6:AB8"/>
  </mergeCells>
  <printOptions/>
  <pageMargins left="0.61" right="0.73" top="1.67" bottom="1" header="0.5" footer="0.5"/>
  <pageSetup horizontalDpi="600" verticalDpi="600" orientation="landscape" r:id="rId1"/>
  <headerFooter alignWithMargins="0">
    <oddHeader>&amp;L
Kennecott Utah Copper Corp.
Site Name:  North Concentrator/Power Plant/Lab/Tailings Pond
Site ID:  10572&amp;CRegional Haze
1996 Statewide SOx Source</oddHeader>
    <oddFooter>&amp;R&amp;D
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N55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421875" style="0" customWidth="1"/>
    <col min="3" max="3" width="8.57421875" style="0" customWidth="1"/>
    <col min="4" max="4" width="9.7109375" style="0" customWidth="1"/>
    <col min="5" max="5" width="24.7109375" style="0" customWidth="1"/>
    <col min="7" max="7" width="11.140625" style="0" customWidth="1"/>
    <col min="8" max="8" width="12.421875" style="0" customWidth="1"/>
    <col min="11" max="11" width="7.7109375" style="0" customWidth="1"/>
    <col min="14" max="14" width="7.421875" style="0" customWidth="1"/>
    <col min="15" max="15" width="7.57421875" style="0" customWidth="1"/>
    <col min="16" max="16" width="6.57421875" style="0" customWidth="1"/>
    <col min="18" max="18" width="10.7109375" style="0" customWidth="1"/>
    <col min="20" max="20" width="11.8515625" style="0" customWidth="1"/>
    <col min="22" max="22" width="9.8515625" style="0" customWidth="1"/>
    <col min="23" max="23" width="2.7109375" style="0" customWidth="1"/>
    <col min="24" max="24" width="9.57421875" style="0" customWidth="1"/>
    <col min="25" max="25" width="11.7109375" style="0" customWidth="1"/>
    <col min="27" max="27" width="9.28125" style="0" customWidth="1"/>
    <col min="29" max="29" width="26.57421875" style="0" customWidth="1"/>
  </cols>
  <sheetData>
    <row r="1" spans="1:5" ht="15.75">
      <c r="A1" s="14" t="s">
        <v>1</v>
      </c>
      <c r="B1" s="14"/>
      <c r="C1" s="47" t="s">
        <v>522</v>
      </c>
      <c r="E1" s="4" t="s">
        <v>44</v>
      </c>
    </row>
    <row r="2" spans="1:9" ht="15">
      <c r="A2" s="14"/>
      <c r="B2" s="14"/>
      <c r="E2" s="5" t="s">
        <v>666</v>
      </c>
      <c r="H2" s="44"/>
      <c r="I2" s="44"/>
    </row>
    <row r="3" spans="1:3" ht="12.75">
      <c r="A3" s="14" t="s">
        <v>13</v>
      </c>
      <c r="B3" s="14" t="s">
        <v>14</v>
      </c>
      <c r="C3" s="47" t="s">
        <v>500</v>
      </c>
    </row>
    <row r="4" spans="1:2" ht="12.75">
      <c r="A4" s="46">
        <v>10123</v>
      </c>
      <c r="B4" s="14"/>
    </row>
    <row r="5" ht="13.5" thickBot="1"/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611" t="s">
        <v>286</v>
      </c>
      <c r="X6" s="609"/>
      <c r="Y6" s="522" t="s">
        <v>34</v>
      </c>
      <c r="Z6" s="522" t="s">
        <v>36</v>
      </c>
      <c r="AA6" s="522" t="s">
        <v>37</v>
      </c>
      <c r="AB6" s="522" t="s">
        <v>38</v>
      </c>
      <c r="AC6" s="612" t="s">
        <v>39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773</v>
      </c>
      <c r="U7" s="528" t="s">
        <v>33</v>
      </c>
      <c r="V7" s="528"/>
      <c r="W7" s="554"/>
      <c r="X7" s="610"/>
      <c r="Y7" s="614"/>
      <c r="Z7" s="614"/>
      <c r="AA7" s="614"/>
      <c r="AB7" s="614"/>
      <c r="AC7" s="613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82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554"/>
      <c r="X8" s="610"/>
      <c r="Y8" s="614"/>
      <c r="Z8" s="614"/>
      <c r="AA8" s="614"/>
      <c r="AB8" s="614"/>
      <c r="AC8" s="613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29" ht="12.75">
      <c r="A9" s="324" t="s">
        <v>48</v>
      </c>
      <c r="B9" s="325">
        <v>2668</v>
      </c>
      <c r="C9" s="326" t="s">
        <v>523</v>
      </c>
      <c r="D9" s="325">
        <v>30600106</v>
      </c>
      <c r="E9" s="326" t="s">
        <v>524</v>
      </c>
      <c r="F9" s="325" t="s">
        <v>75</v>
      </c>
      <c r="G9" s="325">
        <v>281</v>
      </c>
      <c r="H9" s="326" t="s">
        <v>525</v>
      </c>
      <c r="I9" s="325">
        <v>155.844</v>
      </c>
      <c r="J9" s="325" t="s">
        <v>562</v>
      </c>
      <c r="K9" s="326">
        <v>38</v>
      </c>
      <c r="L9" s="342" t="s">
        <v>515</v>
      </c>
      <c r="M9" s="338">
        <v>972</v>
      </c>
      <c r="N9" s="325" t="s">
        <v>559</v>
      </c>
      <c r="O9" s="325">
        <v>0</v>
      </c>
      <c r="P9" s="325">
        <v>0</v>
      </c>
      <c r="Q9" s="326" t="s">
        <v>52</v>
      </c>
      <c r="R9" s="326"/>
      <c r="S9" s="326"/>
      <c r="T9" s="326"/>
      <c r="U9" s="326"/>
      <c r="V9" s="326"/>
      <c r="W9" s="326"/>
      <c r="X9" s="327">
        <f>AA9*I9/2000</f>
        <v>0.16792190999999998</v>
      </c>
      <c r="Y9" s="325">
        <v>0</v>
      </c>
      <c r="Z9" s="325">
        <v>5</v>
      </c>
      <c r="AA9" s="325">
        <v>2.155</v>
      </c>
      <c r="AB9" s="325" t="s">
        <v>560</v>
      </c>
      <c r="AC9" s="328" t="s">
        <v>51</v>
      </c>
    </row>
    <row r="10" spans="1:29" ht="12.75">
      <c r="A10" s="329" t="s">
        <v>48</v>
      </c>
      <c r="B10" s="317">
        <v>2669</v>
      </c>
      <c r="C10" s="316" t="s">
        <v>526</v>
      </c>
      <c r="D10" s="317">
        <v>30600106</v>
      </c>
      <c r="E10" s="316" t="s">
        <v>524</v>
      </c>
      <c r="F10" s="317" t="s">
        <v>75</v>
      </c>
      <c r="G10" s="317">
        <v>282</v>
      </c>
      <c r="H10" s="316" t="s">
        <v>525</v>
      </c>
      <c r="I10" s="317">
        <v>246.932</v>
      </c>
      <c r="J10" s="317" t="s">
        <v>562</v>
      </c>
      <c r="K10" s="316">
        <v>71</v>
      </c>
      <c r="L10" s="343" t="s">
        <v>515</v>
      </c>
      <c r="M10" s="339">
        <v>972</v>
      </c>
      <c r="N10" s="317" t="s">
        <v>559</v>
      </c>
      <c r="O10" s="317">
        <v>0</v>
      </c>
      <c r="P10" s="317">
        <v>0</v>
      </c>
      <c r="Q10" s="316" t="s">
        <v>52</v>
      </c>
      <c r="R10" s="316"/>
      <c r="S10" s="316"/>
      <c r="T10" s="316"/>
      <c r="U10" s="316"/>
      <c r="V10" s="316"/>
      <c r="W10" s="316"/>
      <c r="X10" s="318">
        <f>AA10*I10/2000</f>
        <v>0.26606922999999993</v>
      </c>
      <c r="Y10" s="317">
        <v>0</v>
      </c>
      <c r="Z10" s="317">
        <v>5</v>
      </c>
      <c r="AA10" s="317">
        <v>2.155</v>
      </c>
      <c r="AB10" s="317" t="s">
        <v>560</v>
      </c>
      <c r="AC10" s="330" t="s">
        <v>51</v>
      </c>
    </row>
    <row r="11" spans="1:29" ht="12.75">
      <c r="A11" s="329" t="s">
        <v>48</v>
      </c>
      <c r="B11" s="317">
        <v>2672</v>
      </c>
      <c r="C11" s="316" t="s">
        <v>527</v>
      </c>
      <c r="D11" s="317">
        <v>30600106</v>
      </c>
      <c r="E11" s="316" t="s">
        <v>524</v>
      </c>
      <c r="F11" s="317" t="s">
        <v>75</v>
      </c>
      <c r="G11" s="317">
        <v>283</v>
      </c>
      <c r="H11" s="316" t="s">
        <v>525</v>
      </c>
      <c r="I11" s="317">
        <v>227.769</v>
      </c>
      <c r="J11" s="317" t="s">
        <v>562</v>
      </c>
      <c r="K11" s="316">
        <v>55</v>
      </c>
      <c r="L11" s="343" t="s">
        <v>515</v>
      </c>
      <c r="M11" s="339">
        <v>972</v>
      </c>
      <c r="N11" s="317" t="s">
        <v>559</v>
      </c>
      <c r="O11" s="317">
        <v>0</v>
      </c>
      <c r="P11" s="317">
        <v>0</v>
      </c>
      <c r="Q11" s="316" t="s">
        <v>52</v>
      </c>
      <c r="R11" s="316" t="s">
        <v>561</v>
      </c>
      <c r="S11" s="316">
        <v>99</v>
      </c>
      <c r="T11" s="316"/>
      <c r="U11" s="316"/>
      <c r="V11" s="316"/>
      <c r="W11" s="316" t="s">
        <v>454</v>
      </c>
      <c r="X11" s="318">
        <f>((1523.25*39.3)+(312.75*65.03)+(123.76*4344))/2000</f>
        <v>308.9076487500001</v>
      </c>
      <c r="Y11" s="317">
        <v>0</v>
      </c>
      <c r="Z11" s="317" t="s">
        <v>51</v>
      </c>
      <c r="AA11" s="317" t="s">
        <v>51</v>
      </c>
      <c r="AB11" s="317">
        <v>0</v>
      </c>
      <c r="AC11" s="330" t="s">
        <v>51</v>
      </c>
    </row>
    <row r="12" spans="1:29" ht="12.75">
      <c r="A12" s="329" t="s">
        <v>48</v>
      </c>
      <c r="B12" s="317">
        <v>2675</v>
      </c>
      <c r="C12" s="316" t="s">
        <v>528</v>
      </c>
      <c r="D12" s="317">
        <v>30600106</v>
      </c>
      <c r="E12" s="316" t="s">
        <v>529</v>
      </c>
      <c r="F12" s="317" t="s">
        <v>75</v>
      </c>
      <c r="G12" s="317">
        <v>284</v>
      </c>
      <c r="H12" s="316" t="s">
        <v>176</v>
      </c>
      <c r="I12" s="317">
        <v>1608</v>
      </c>
      <c r="J12" s="317" t="s">
        <v>460</v>
      </c>
      <c r="K12" s="316" t="s">
        <v>51</v>
      </c>
      <c r="L12" s="343">
        <v>0</v>
      </c>
      <c r="M12" s="339">
        <v>0</v>
      </c>
      <c r="N12" s="317">
        <v>0</v>
      </c>
      <c r="O12" s="317">
        <v>0</v>
      </c>
      <c r="P12" s="317">
        <v>0</v>
      </c>
      <c r="Q12" s="316" t="s">
        <v>52</v>
      </c>
      <c r="R12" s="316"/>
      <c r="S12" s="316"/>
      <c r="T12" s="316"/>
      <c r="U12" s="316"/>
      <c r="V12" s="316"/>
      <c r="W12" s="316" t="s">
        <v>571</v>
      </c>
      <c r="X12" s="318">
        <f>((AA12*I12)+Y12)/2000</f>
        <v>99.82789000000001</v>
      </c>
      <c r="Y12" s="317">
        <v>649.7</v>
      </c>
      <c r="Z12" s="317" t="s">
        <v>51</v>
      </c>
      <c r="AA12" s="317">
        <v>123.76</v>
      </c>
      <c r="AB12" s="317" t="s">
        <v>468</v>
      </c>
      <c r="AC12" s="330" t="s">
        <v>572</v>
      </c>
    </row>
    <row r="13" spans="1:29" ht="12.75">
      <c r="A13" s="329" t="s">
        <v>48</v>
      </c>
      <c r="B13" s="317">
        <v>2677</v>
      </c>
      <c r="C13" s="316" t="s">
        <v>530</v>
      </c>
      <c r="D13" s="317">
        <v>30600106</v>
      </c>
      <c r="E13" s="316" t="s">
        <v>531</v>
      </c>
      <c r="F13" s="317" t="s">
        <v>75</v>
      </c>
      <c r="G13" s="317">
        <v>2954</v>
      </c>
      <c r="H13" s="316" t="s">
        <v>525</v>
      </c>
      <c r="I13" s="317">
        <v>39.72</v>
      </c>
      <c r="J13" s="317" t="s">
        <v>562</v>
      </c>
      <c r="K13" s="316">
        <v>7.1</v>
      </c>
      <c r="L13" s="343" t="s">
        <v>515</v>
      </c>
      <c r="M13" s="339">
        <v>972</v>
      </c>
      <c r="N13" s="317" t="s">
        <v>559</v>
      </c>
      <c r="O13" s="317">
        <v>0</v>
      </c>
      <c r="P13" s="317">
        <v>0</v>
      </c>
      <c r="Q13" s="316" t="s">
        <v>52</v>
      </c>
      <c r="R13" s="316"/>
      <c r="S13" s="316"/>
      <c r="T13" s="316"/>
      <c r="U13" s="316"/>
      <c r="V13" s="316"/>
      <c r="W13" s="316"/>
      <c r="X13" s="318">
        <f>AA13*I13/2000</f>
        <v>0.0427983</v>
      </c>
      <c r="Y13" s="317">
        <v>0</v>
      </c>
      <c r="Z13" s="317">
        <v>5</v>
      </c>
      <c r="AA13" s="317">
        <v>2.155</v>
      </c>
      <c r="AB13" s="317" t="s">
        <v>560</v>
      </c>
      <c r="AC13" s="330" t="s">
        <v>51</v>
      </c>
    </row>
    <row r="14" spans="1:29" ht="12.75">
      <c r="A14" s="329" t="s">
        <v>48</v>
      </c>
      <c r="B14" s="317">
        <v>3393</v>
      </c>
      <c r="C14" s="316" t="s">
        <v>532</v>
      </c>
      <c r="D14" s="317">
        <v>30600106</v>
      </c>
      <c r="E14" s="316" t="s">
        <v>531</v>
      </c>
      <c r="F14" s="317" t="s">
        <v>75</v>
      </c>
      <c r="G14" s="317">
        <v>264</v>
      </c>
      <c r="H14" s="316" t="s">
        <v>525</v>
      </c>
      <c r="I14" s="317">
        <v>176.381</v>
      </c>
      <c r="J14" s="317" t="s">
        <v>562</v>
      </c>
      <c r="K14" s="316">
        <v>32</v>
      </c>
      <c r="L14" s="343" t="s">
        <v>515</v>
      </c>
      <c r="M14" s="339">
        <v>972</v>
      </c>
      <c r="N14" s="317" t="s">
        <v>559</v>
      </c>
      <c r="O14" s="317">
        <v>0</v>
      </c>
      <c r="P14" s="317">
        <v>0</v>
      </c>
      <c r="Q14" s="316" t="s">
        <v>52</v>
      </c>
      <c r="R14" s="316"/>
      <c r="S14" s="316"/>
      <c r="T14" s="316"/>
      <c r="U14" s="316"/>
      <c r="V14" s="316"/>
      <c r="W14" s="316"/>
      <c r="X14" s="318">
        <f>AA14*I14/2000</f>
        <v>0.19005052749999998</v>
      </c>
      <c r="Y14" s="317">
        <v>0</v>
      </c>
      <c r="Z14" s="317">
        <v>5</v>
      </c>
      <c r="AA14" s="317">
        <v>2.155</v>
      </c>
      <c r="AB14" s="317" t="s">
        <v>560</v>
      </c>
      <c r="AC14" s="330" t="s">
        <v>51</v>
      </c>
    </row>
    <row r="15" spans="1:29" ht="12.75">
      <c r="A15" s="329" t="s">
        <v>48</v>
      </c>
      <c r="B15" s="317">
        <v>3394</v>
      </c>
      <c r="C15" s="316" t="s">
        <v>533</v>
      </c>
      <c r="D15" s="317">
        <v>30600106</v>
      </c>
      <c r="E15" s="316" t="s">
        <v>531</v>
      </c>
      <c r="F15" s="317" t="s">
        <v>75</v>
      </c>
      <c r="G15" s="317">
        <v>2956</v>
      </c>
      <c r="H15" s="316" t="s">
        <v>525</v>
      </c>
      <c r="I15" s="317">
        <v>15.558</v>
      </c>
      <c r="J15" s="317" t="s">
        <v>562</v>
      </c>
      <c r="K15" s="316">
        <v>2.4</v>
      </c>
      <c r="L15" s="343" t="s">
        <v>515</v>
      </c>
      <c r="M15" s="339">
        <v>972</v>
      </c>
      <c r="N15" s="317" t="s">
        <v>559</v>
      </c>
      <c r="O15" s="317">
        <v>0</v>
      </c>
      <c r="P15" s="317">
        <v>0</v>
      </c>
      <c r="Q15" s="316" t="s">
        <v>52</v>
      </c>
      <c r="R15" s="316"/>
      <c r="S15" s="316"/>
      <c r="T15" s="316"/>
      <c r="U15" s="316"/>
      <c r="V15" s="316"/>
      <c r="W15" s="316"/>
      <c r="X15" s="318">
        <f>AA15*I15/2000</f>
        <v>0.016763744999999997</v>
      </c>
      <c r="Y15" s="317">
        <v>0</v>
      </c>
      <c r="Z15" s="317">
        <v>5</v>
      </c>
      <c r="AA15" s="317">
        <v>2.155</v>
      </c>
      <c r="AB15" s="317" t="s">
        <v>560</v>
      </c>
      <c r="AC15" s="330" t="s">
        <v>51</v>
      </c>
    </row>
    <row r="16" spans="1:29" ht="12.75">
      <c r="A16" s="329" t="s">
        <v>48</v>
      </c>
      <c r="B16" s="317">
        <v>3395</v>
      </c>
      <c r="C16" s="316" t="s">
        <v>534</v>
      </c>
      <c r="D16" s="317">
        <v>30600106</v>
      </c>
      <c r="E16" s="316" t="s">
        <v>531</v>
      </c>
      <c r="F16" s="317" t="s">
        <v>75</v>
      </c>
      <c r="G16" s="317">
        <v>266</v>
      </c>
      <c r="H16" s="316" t="s">
        <v>525</v>
      </c>
      <c r="I16" s="317">
        <v>173.718</v>
      </c>
      <c r="J16" s="317" t="s">
        <v>562</v>
      </c>
      <c r="K16" s="316">
        <v>10.8</v>
      </c>
      <c r="L16" s="343" t="s">
        <v>515</v>
      </c>
      <c r="M16" s="339">
        <v>972</v>
      </c>
      <c r="N16" s="317" t="s">
        <v>559</v>
      </c>
      <c r="O16" s="317">
        <v>0</v>
      </c>
      <c r="P16" s="317">
        <v>0</v>
      </c>
      <c r="Q16" s="316" t="s">
        <v>52</v>
      </c>
      <c r="R16" s="316"/>
      <c r="S16" s="316"/>
      <c r="T16" s="316"/>
      <c r="U16" s="316"/>
      <c r="V16" s="316"/>
      <c r="W16" s="316"/>
      <c r="X16" s="318">
        <f>AA16*I16/2000</f>
        <v>0.18718114499999997</v>
      </c>
      <c r="Y16" s="317">
        <v>0</v>
      </c>
      <c r="Z16" s="317">
        <v>5</v>
      </c>
      <c r="AA16" s="317">
        <v>2.155</v>
      </c>
      <c r="AB16" s="317" t="s">
        <v>560</v>
      </c>
      <c r="AC16" s="330" t="s">
        <v>51</v>
      </c>
    </row>
    <row r="17" spans="1:29" ht="12.75">
      <c r="A17" s="329" t="s">
        <v>48</v>
      </c>
      <c r="B17" s="317">
        <v>3396</v>
      </c>
      <c r="C17" s="316" t="s">
        <v>535</v>
      </c>
      <c r="D17" s="317">
        <v>30600106</v>
      </c>
      <c r="E17" s="316" t="s">
        <v>536</v>
      </c>
      <c r="F17" s="317" t="s">
        <v>76</v>
      </c>
      <c r="G17" s="317">
        <v>2957</v>
      </c>
      <c r="H17" s="316" t="s">
        <v>525</v>
      </c>
      <c r="I17" s="317">
        <v>16.994</v>
      </c>
      <c r="J17" s="317" t="s">
        <v>562</v>
      </c>
      <c r="K17" s="316" t="s">
        <v>186</v>
      </c>
      <c r="L17" s="343" t="s">
        <v>515</v>
      </c>
      <c r="M17" s="339">
        <v>972</v>
      </c>
      <c r="N17" s="317" t="s">
        <v>559</v>
      </c>
      <c r="O17" s="317">
        <v>0</v>
      </c>
      <c r="P17" s="317">
        <v>0</v>
      </c>
      <c r="Q17" s="316" t="s">
        <v>52</v>
      </c>
      <c r="R17" s="316" t="s">
        <v>77</v>
      </c>
      <c r="S17" s="316">
        <v>45</v>
      </c>
      <c r="T17" s="316"/>
      <c r="U17" s="316"/>
      <c r="V17" s="316"/>
      <c r="W17" s="316"/>
      <c r="X17" s="318">
        <v>272.31</v>
      </c>
      <c r="Y17" s="317"/>
      <c r="Z17" s="317">
        <v>1</v>
      </c>
      <c r="AA17" s="317" t="s">
        <v>51</v>
      </c>
      <c r="AB17" s="317">
        <v>0</v>
      </c>
      <c r="AC17" s="330" t="s">
        <v>537</v>
      </c>
    </row>
    <row r="18" spans="1:29" ht="12.75">
      <c r="A18" s="329" t="s">
        <v>48</v>
      </c>
      <c r="B18" s="317">
        <v>3397</v>
      </c>
      <c r="C18" s="316" t="s">
        <v>538</v>
      </c>
      <c r="D18" s="317">
        <v>30600301</v>
      </c>
      <c r="E18" s="316" t="s">
        <v>539</v>
      </c>
      <c r="F18" s="317" t="s">
        <v>75</v>
      </c>
      <c r="G18" s="317">
        <v>260</v>
      </c>
      <c r="H18" s="316" t="s">
        <v>525</v>
      </c>
      <c r="I18" s="319">
        <v>0</v>
      </c>
      <c r="J18" s="319" t="s">
        <v>562</v>
      </c>
      <c r="K18" s="316">
        <v>12</v>
      </c>
      <c r="L18" s="343" t="s">
        <v>515</v>
      </c>
      <c r="M18" s="339">
        <v>972</v>
      </c>
      <c r="N18" s="317" t="s">
        <v>559</v>
      </c>
      <c r="O18" s="317">
        <v>0</v>
      </c>
      <c r="P18" s="317">
        <v>0</v>
      </c>
      <c r="Q18" s="316" t="s">
        <v>52</v>
      </c>
      <c r="R18" s="316"/>
      <c r="S18" s="316"/>
      <c r="T18" s="316"/>
      <c r="U18" s="316"/>
      <c r="V18" s="316"/>
      <c r="W18" s="316"/>
      <c r="X18" s="318">
        <f>((I18*K18*AA18)/M17)/2000</f>
        <v>0</v>
      </c>
      <c r="Y18" s="317">
        <v>0</v>
      </c>
      <c r="Z18" s="317">
        <v>5</v>
      </c>
      <c r="AA18" s="317">
        <v>2.155</v>
      </c>
      <c r="AB18" s="317" t="s">
        <v>560</v>
      </c>
      <c r="AC18" s="330" t="s">
        <v>51</v>
      </c>
    </row>
    <row r="19" spans="1:29" ht="12.75">
      <c r="A19" s="329" t="s">
        <v>48</v>
      </c>
      <c r="B19" s="317">
        <v>3704</v>
      </c>
      <c r="C19" s="316" t="s">
        <v>540</v>
      </c>
      <c r="D19" s="317">
        <v>30600106</v>
      </c>
      <c r="E19" s="316" t="s">
        <v>531</v>
      </c>
      <c r="F19" s="317" t="s">
        <v>75</v>
      </c>
      <c r="G19" s="317">
        <v>267</v>
      </c>
      <c r="H19" s="316" t="s">
        <v>525</v>
      </c>
      <c r="I19" s="317">
        <v>47.47</v>
      </c>
      <c r="J19" s="317" t="s">
        <v>562</v>
      </c>
      <c r="K19" s="316">
        <v>18.5</v>
      </c>
      <c r="L19" s="343" t="s">
        <v>515</v>
      </c>
      <c r="M19" s="339">
        <v>972</v>
      </c>
      <c r="N19" s="317" t="s">
        <v>559</v>
      </c>
      <c r="O19" s="317">
        <v>0</v>
      </c>
      <c r="P19" s="317">
        <v>0</v>
      </c>
      <c r="Q19" s="316" t="s">
        <v>52</v>
      </c>
      <c r="R19" s="316"/>
      <c r="S19" s="316"/>
      <c r="T19" s="316"/>
      <c r="U19" s="316"/>
      <c r="V19" s="316"/>
      <c r="W19" s="316"/>
      <c r="X19" s="318">
        <f>AA19*I19/2000</f>
        <v>0.05114892499999999</v>
      </c>
      <c r="Y19" s="317">
        <v>0</v>
      </c>
      <c r="Z19" s="317">
        <v>5</v>
      </c>
      <c r="AA19" s="317">
        <v>2.155</v>
      </c>
      <c r="AB19" s="317" t="s">
        <v>560</v>
      </c>
      <c r="AC19" s="330" t="s">
        <v>51</v>
      </c>
    </row>
    <row r="20" spans="1:29" ht="12.75">
      <c r="A20" s="329" t="s">
        <v>48</v>
      </c>
      <c r="B20" s="317">
        <v>3706</v>
      </c>
      <c r="C20" s="316" t="s">
        <v>541</v>
      </c>
      <c r="D20" s="317">
        <v>30600106</v>
      </c>
      <c r="E20" s="316" t="s">
        <v>531</v>
      </c>
      <c r="F20" s="317" t="s">
        <v>76</v>
      </c>
      <c r="G20" s="317">
        <v>269</v>
      </c>
      <c r="H20" s="316" t="s">
        <v>525</v>
      </c>
      <c r="I20" s="317">
        <v>13.521</v>
      </c>
      <c r="J20" s="317" t="s">
        <v>562</v>
      </c>
      <c r="K20" s="316">
        <v>3.5</v>
      </c>
      <c r="L20" s="343" t="s">
        <v>515</v>
      </c>
      <c r="M20" s="339">
        <v>972</v>
      </c>
      <c r="N20" s="317" t="s">
        <v>559</v>
      </c>
      <c r="O20" s="317">
        <v>0</v>
      </c>
      <c r="P20" s="317">
        <v>0</v>
      </c>
      <c r="Q20" s="316" t="s">
        <v>52</v>
      </c>
      <c r="R20" s="316"/>
      <c r="S20" s="316"/>
      <c r="T20" s="316"/>
      <c r="U20" s="316"/>
      <c r="V20" s="316"/>
      <c r="W20" s="316"/>
      <c r="X20" s="318">
        <f>AA20*I20/2000</f>
        <v>0.014568877499999999</v>
      </c>
      <c r="Y20" s="317">
        <v>0</v>
      </c>
      <c r="Z20" s="317">
        <v>5</v>
      </c>
      <c r="AA20" s="317">
        <v>2.155</v>
      </c>
      <c r="AB20" s="317" t="s">
        <v>560</v>
      </c>
      <c r="AC20" s="330" t="s">
        <v>51</v>
      </c>
    </row>
    <row r="21" spans="1:29" ht="12.75">
      <c r="A21" s="329" t="s">
        <v>48</v>
      </c>
      <c r="B21" s="317">
        <v>3707</v>
      </c>
      <c r="C21" s="316" t="s">
        <v>542</v>
      </c>
      <c r="D21" s="317">
        <v>10500106</v>
      </c>
      <c r="E21" s="316" t="s">
        <v>543</v>
      </c>
      <c r="F21" s="317" t="s">
        <v>75</v>
      </c>
      <c r="G21" s="317">
        <v>272</v>
      </c>
      <c r="H21" s="316" t="s">
        <v>525</v>
      </c>
      <c r="I21" s="317">
        <v>306</v>
      </c>
      <c r="J21" s="317" t="s">
        <v>558</v>
      </c>
      <c r="K21" s="316">
        <v>9.2</v>
      </c>
      <c r="L21" s="343" t="s">
        <v>515</v>
      </c>
      <c r="M21" s="339">
        <v>972</v>
      </c>
      <c r="N21" s="317" t="s">
        <v>559</v>
      </c>
      <c r="O21" s="317">
        <v>0</v>
      </c>
      <c r="P21" s="317">
        <v>0</v>
      </c>
      <c r="Q21" s="316" t="s">
        <v>52</v>
      </c>
      <c r="R21" s="316"/>
      <c r="S21" s="316"/>
      <c r="T21" s="316"/>
      <c r="U21" s="316"/>
      <c r="V21" s="316"/>
      <c r="W21" s="316"/>
      <c r="X21" s="318">
        <f>((AA21*I21)/1000)/2000</f>
        <v>0.00032971499999999996</v>
      </c>
      <c r="Y21" s="317">
        <v>0</v>
      </c>
      <c r="Z21" s="317">
        <v>5</v>
      </c>
      <c r="AA21" s="317">
        <v>2.155</v>
      </c>
      <c r="AB21" s="317" t="s">
        <v>560</v>
      </c>
      <c r="AC21" s="330" t="s">
        <v>51</v>
      </c>
    </row>
    <row r="22" spans="1:29" ht="12.75">
      <c r="A22" s="329" t="s">
        <v>48</v>
      </c>
      <c r="B22" s="317">
        <v>3711</v>
      </c>
      <c r="C22" s="316" t="s">
        <v>544</v>
      </c>
      <c r="D22" s="317">
        <v>10500106</v>
      </c>
      <c r="E22" s="316" t="s">
        <v>543</v>
      </c>
      <c r="F22" s="317" t="s">
        <v>75</v>
      </c>
      <c r="G22" s="317">
        <v>276</v>
      </c>
      <c r="H22" s="316" t="s">
        <v>525</v>
      </c>
      <c r="I22" s="317">
        <v>306</v>
      </c>
      <c r="J22" s="317" t="s">
        <v>558</v>
      </c>
      <c r="K22" s="316">
        <v>11.3</v>
      </c>
      <c r="L22" s="343" t="s">
        <v>515</v>
      </c>
      <c r="M22" s="339">
        <v>972</v>
      </c>
      <c r="N22" s="317" t="s">
        <v>559</v>
      </c>
      <c r="O22" s="317">
        <v>0</v>
      </c>
      <c r="P22" s="317">
        <v>0</v>
      </c>
      <c r="Q22" s="316" t="s">
        <v>52</v>
      </c>
      <c r="R22" s="316"/>
      <c r="S22" s="316"/>
      <c r="T22" s="316"/>
      <c r="U22" s="316"/>
      <c r="V22" s="316"/>
      <c r="W22" s="316"/>
      <c r="X22" s="318">
        <f>AA22*I22/1000/2000</f>
        <v>0.00032971499999999996</v>
      </c>
      <c r="Y22" s="317">
        <v>0</v>
      </c>
      <c r="Z22" s="317">
        <v>5</v>
      </c>
      <c r="AA22" s="317">
        <v>2.155</v>
      </c>
      <c r="AB22" s="317" t="s">
        <v>560</v>
      </c>
      <c r="AC22" s="330" t="s">
        <v>51</v>
      </c>
    </row>
    <row r="23" spans="1:29" ht="12.75">
      <c r="A23" s="329">
        <v>2</v>
      </c>
      <c r="B23" s="317">
        <v>3931</v>
      </c>
      <c r="C23" s="320" t="s">
        <v>545</v>
      </c>
      <c r="D23" s="317">
        <v>30600301</v>
      </c>
      <c r="E23" s="316" t="s">
        <v>577</v>
      </c>
      <c r="F23" s="317" t="s">
        <v>75</v>
      </c>
      <c r="G23" s="317">
        <v>259</v>
      </c>
      <c r="H23" s="316" t="s">
        <v>525</v>
      </c>
      <c r="I23" s="319">
        <v>13</v>
      </c>
      <c r="J23" s="317" t="s">
        <v>580</v>
      </c>
      <c r="K23" s="316">
        <v>78.8</v>
      </c>
      <c r="L23" s="343" t="s">
        <v>515</v>
      </c>
      <c r="M23" s="339">
        <v>972</v>
      </c>
      <c r="N23" s="317" t="s">
        <v>559</v>
      </c>
      <c r="O23" s="317">
        <v>0</v>
      </c>
      <c r="P23" s="317">
        <v>0</v>
      </c>
      <c r="Q23" s="316" t="s">
        <v>52</v>
      </c>
      <c r="R23" s="316"/>
      <c r="S23" s="316"/>
      <c r="T23" s="316"/>
      <c r="U23" s="316"/>
      <c r="V23" s="316"/>
      <c r="W23" s="316"/>
      <c r="X23" s="318">
        <f>AA23*I23</f>
        <v>4.510999999999999</v>
      </c>
      <c r="Y23" s="317">
        <v>0</v>
      </c>
      <c r="Z23" s="317">
        <v>5</v>
      </c>
      <c r="AA23" s="317">
        <v>0.347</v>
      </c>
      <c r="AB23" s="317" t="s">
        <v>579</v>
      </c>
      <c r="AC23" s="330"/>
    </row>
    <row r="24" spans="1:29" ht="12.75">
      <c r="A24" s="329">
        <v>2</v>
      </c>
      <c r="B24" s="317">
        <v>3931</v>
      </c>
      <c r="C24" s="320" t="s">
        <v>545</v>
      </c>
      <c r="D24" s="317">
        <v>30600301</v>
      </c>
      <c r="E24" s="316" t="s">
        <v>578</v>
      </c>
      <c r="F24" s="317" t="s">
        <v>75</v>
      </c>
      <c r="G24" s="317">
        <v>259</v>
      </c>
      <c r="H24" s="316" t="s">
        <v>525</v>
      </c>
      <c r="I24" s="317">
        <v>63.5</v>
      </c>
      <c r="J24" s="317" t="s">
        <v>580</v>
      </c>
      <c r="K24" s="316">
        <v>78.8</v>
      </c>
      <c r="L24" s="343" t="s">
        <v>515</v>
      </c>
      <c r="M24" s="339">
        <v>972</v>
      </c>
      <c r="N24" s="317" t="s">
        <v>559</v>
      </c>
      <c r="O24" s="317">
        <v>0</v>
      </c>
      <c r="P24" s="317">
        <v>0</v>
      </c>
      <c r="Q24" s="316" t="s">
        <v>52</v>
      </c>
      <c r="R24" s="316"/>
      <c r="S24" s="316"/>
      <c r="T24" s="316"/>
      <c r="U24" s="316"/>
      <c r="V24" s="316"/>
      <c r="W24" s="316"/>
      <c r="X24" s="318">
        <f>AA24*I24</f>
        <v>20.1295</v>
      </c>
      <c r="Y24" s="317">
        <v>0</v>
      </c>
      <c r="Z24" s="317">
        <v>5</v>
      </c>
      <c r="AA24" s="317">
        <v>0.317</v>
      </c>
      <c r="AB24" s="317" t="s">
        <v>579</v>
      </c>
      <c r="AC24" s="330"/>
    </row>
    <row r="25" spans="1:29" ht="12.75">
      <c r="A25" s="329">
        <v>2</v>
      </c>
      <c r="B25" s="317">
        <v>3931</v>
      </c>
      <c r="C25" s="320" t="s">
        <v>545</v>
      </c>
      <c r="D25" s="317">
        <v>30600301</v>
      </c>
      <c r="E25" s="316" t="s">
        <v>576</v>
      </c>
      <c r="F25" s="317" t="s">
        <v>75</v>
      </c>
      <c r="G25" s="75">
        <v>259</v>
      </c>
      <c r="H25" s="75" t="s">
        <v>525</v>
      </c>
      <c r="I25" s="317">
        <v>198.788</v>
      </c>
      <c r="J25" s="317" t="s">
        <v>562</v>
      </c>
      <c r="K25" s="321">
        <v>78.8</v>
      </c>
      <c r="L25" s="343" t="s">
        <v>515</v>
      </c>
      <c r="M25" s="339">
        <v>972</v>
      </c>
      <c r="N25" s="317" t="s">
        <v>559</v>
      </c>
      <c r="O25" s="317">
        <v>0</v>
      </c>
      <c r="P25" s="317">
        <v>0</v>
      </c>
      <c r="Q25" s="316" t="s">
        <v>52</v>
      </c>
      <c r="R25" s="316"/>
      <c r="S25" s="316"/>
      <c r="T25" s="316"/>
      <c r="U25" s="316"/>
      <c r="V25" s="316"/>
      <c r="W25" s="316"/>
      <c r="X25" s="318">
        <f>AA25*I25/2000</f>
        <v>0.21419407</v>
      </c>
      <c r="Y25" s="317">
        <v>0</v>
      </c>
      <c r="Z25" s="317">
        <v>5</v>
      </c>
      <c r="AA25" s="317">
        <v>2.155</v>
      </c>
      <c r="AB25" s="317" t="s">
        <v>560</v>
      </c>
      <c r="AC25" s="330"/>
    </row>
    <row r="26" spans="1:29" ht="12.75">
      <c r="A26" s="329" t="s">
        <v>48</v>
      </c>
      <c r="B26" s="317">
        <v>3936</v>
      </c>
      <c r="C26" s="316" t="s">
        <v>546</v>
      </c>
      <c r="D26" s="317">
        <v>30600202</v>
      </c>
      <c r="E26" s="316" t="s">
        <v>531</v>
      </c>
      <c r="F26" s="317" t="s">
        <v>75</v>
      </c>
      <c r="G26" s="317">
        <v>262</v>
      </c>
      <c r="H26" s="316" t="s">
        <v>525</v>
      </c>
      <c r="I26" s="317">
        <v>129.986</v>
      </c>
      <c r="J26" s="317" t="s">
        <v>562</v>
      </c>
      <c r="K26" s="316">
        <v>29.1</v>
      </c>
      <c r="L26" s="343" t="s">
        <v>515</v>
      </c>
      <c r="M26" s="339">
        <v>972</v>
      </c>
      <c r="N26" s="317" t="s">
        <v>559</v>
      </c>
      <c r="O26" s="317">
        <v>0</v>
      </c>
      <c r="P26" s="317">
        <v>0</v>
      </c>
      <c r="Q26" s="316" t="s">
        <v>52</v>
      </c>
      <c r="R26" s="316"/>
      <c r="S26" s="316"/>
      <c r="T26" s="316"/>
      <c r="U26" s="316"/>
      <c r="V26" s="316"/>
      <c r="W26" s="316"/>
      <c r="X26" s="318">
        <f>AA26*I26/2000</f>
        <v>0.14005991499999998</v>
      </c>
      <c r="Y26" s="317">
        <v>0</v>
      </c>
      <c r="Z26" s="317">
        <v>5</v>
      </c>
      <c r="AA26" s="317">
        <v>2.155</v>
      </c>
      <c r="AB26" s="317" t="s">
        <v>560</v>
      </c>
      <c r="AC26" s="330" t="s">
        <v>51</v>
      </c>
    </row>
    <row r="27" spans="1:29" ht="12.75">
      <c r="A27" s="329" t="s">
        <v>48</v>
      </c>
      <c r="B27" s="317">
        <v>3937</v>
      </c>
      <c r="C27" s="316" t="s">
        <v>547</v>
      </c>
      <c r="D27" s="317">
        <v>30600202</v>
      </c>
      <c r="E27" s="316" t="s">
        <v>531</v>
      </c>
      <c r="F27" s="317" t="s">
        <v>75</v>
      </c>
      <c r="G27" s="317">
        <v>263</v>
      </c>
      <c r="H27" s="316" t="s">
        <v>525</v>
      </c>
      <c r="I27" s="317">
        <v>40.997</v>
      </c>
      <c r="J27" s="317" t="s">
        <v>562</v>
      </c>
      <c r="K27" s="316">
        <v>11</v>
      </c>
      <c r="L27" s="343" t="s">
        <v>515</v>
      </c>
      <c r="M27" s="339">
        <v>972</v>
      </c>
      <c r="N27" s="317" t="s">
        <v>559</v>
      </c>
      <c r="O27" s="317">
        <v>0</v>
      </c>
      <c r="P27" s="317">
        <v>0</v>
      </c>
      <c r="Q27" s="316" t="s">
        <v>52</v>
      </c>
      <c r="R27" s="316"/>
      <c r="S27" s="316"/>
      <c r="T27" s="316"/>
      <c r="U27" s="316"/>
      <c r="V27" s="316"/>
      <c r="W27" s="316"/>
      <c r="X27" s="318">
        <f>AA27*I27/2000</f>
        <v>0.044174267499999996</v>
      </c>
      <c r="Y27" s="317">
        <v>0</v>
      </c>
      <c r="Z27" s="317">
        <v>5</v>
      </c>
      <c r="AA27" s="317">
        <v>2.155</v>
      </c>
      <c r="AB27" s="317" t="s">
        <v>560</v>
      </c>
      <c r="AC27" s="330" t="s">
        <v>51</v>
      </c>
    </row>
    <row r="28" spans="1:29" ht="12.75">
      <c r="A28" s="329" t="s">
        <v>48</v>
      </c>
      <c r="B28" s="317">
        <v>3938</v>
      </c>
      <c r="C28" s="316" t="s">
        <v>548</v>
      </c>
      <c r="D28" s="317">
        <v>30600101</v>
      </c>
      <c r="E28" s="316" t="s">
        <v>531</v>
      </c>
      <c r="F28" s="317" t="s">
        <v>76</v>
      </c>
      <c r="G28" s="317">
        <v>265</v>
      </c>
      <c r="H28" s="316" t="s">
        <v>525</v>
      </c>
      <c r="I28" s="317">
        <v>602.669</v>
      </c>
      <c r="J28" s="317" t="s">
        <v>562</v>
      </c>
      <c r="K28" s="316">
        <v>83.7</v>
      </c>
      <c r="L28" s="343" t="s">
        <v>515</v>
      </c>
      <c r="M28" s="339">
        <v>972</v>
      </c>
      <c r="N28" s="317" t="s">
        <v>559</v>
      </c>
      <c r="O28" s="317">
        <v>0</v>
      </c>
      <c r="P28" s="317">
        <v>0</v>
      </c>
      <c r="Q28" s="316" t="s">
        <v>52</v>
      </c>
      <c r="R28" s="316"/>
      <c r="S28" s="316"/>
      <c r="T28" s="316"/>
      <c r="U28" s="316"/>
      <c r="V28" s="316"/>
      <c r="W28" s="316"/>
      <c r="X28" s="318">
        <f>AA28*I28/2000+Y28</f>
        <v>43.3973224675</v>
      </c>
      <c r="Y28" s="317">
        <v>42.76</v>
      </c>
      <c r="Z28" s="317">
        <v>5</v>
      </c>
      <c r="AA28" s="317">
        <v>2.115</v>
      </c>
      <c r="AB28" s="317" t="s">
        <v>560</v>
      </c>
      <c r="AC28" s="330" t="s">
        <v>51</v>
      </c>
    </row>
    <row r="29" spans="1:29" ht="12.75">
      <c r="A29" s="329" t="s">
        <v>48</v>
      </c>
      <c r="B29" s="317">
        <v>3940</v>
      </c>
      <c r="C29" s="316" t="s">
        <v>549</v>
      </c>
      <c r="D29" s="317">
        <v>30600106</v>
      </c>
      <c r="E29" s="316" t="s">
        <v>531</v>
      </c>
      <c r="F29" s="317" t="s">
        <v>75</v>
      </c>
      <c r="G29" s="317">
        <v>268</v>
      </c>
      <c r="H29" s="316" t="s">
        <v>525</v>
      </c>
      <c r="I29" s="317">
        <v>171.576</v>
      </c>
      <c r="J29" s="317" t="s">
        <v>562</v>
      </c>
      <c r="K29" s="316">
        <v>36.4</v>
      </c>
      <c r="L29" s="343" t="s">
        <v>515</v>
      </c>
      <c r="M29" s="339">
        <v>972</v>
      </c>
      <c r="N29" s="317" t="s">
        <v>559</v>
      </c>
      <c r="O29" s="317">
        <v>0</v>
      </c>
      <c r="P29" s="317">
        <v>0</v>
      </c>
      <c r="Q29" s="316" t="s">
        <v>52</v>
      </c>
      <c r="R29" s="316"/>
      <c r="S29" s="316"/>
      <c r="T29" s="316"/>
      <c r="U29" s="316"/>
      <c r="V29" s="316"/>
      <c r="W29" s="316"/>
      <c r="X29" s="318">
        <f>AA29*I29/2000</f>
        <v>0.18487314</v>
      </c>
      <c r="Y29" s="317">
        <v>0</v>
      </c>
      <c r="Z29" s="317">
        <v>5</v>
      </c>
      <c r="AA29" s="317">
        <v>2.155</v>
      </c>
      <c r="AB29" s="317" t="s">
        <v>560</v>
      </c>
      <c r="AC29" s="330" t="s">
        <v>51</v>
      </c>
    </row>
    <row r="30" spans="1:29" ht="12.75">
      <c r="A30" s="329" t="s">
        <v>48</v>
      </c>
      <c r="B30" s="317">
        <v>3941</v>
      </c>
      <c r="C30" s="316" t="s">
        <v>550</v>
      </c>
      <c r="D30" s="317">
        <v>30600106</v>
      </c>
      <c r="E30" s="316" t="s">
        <v>531</v>
      </c>
      <c r="F30" s="317" t="s">
        <v>75</v>
      </c>
      <c r="G30" s="317">
        <v>270</v>
      </c>
      <c r="H30" s="316" t="s">
        <v>525</v>
      </c>
      <c r="I30" s="317">
        <v>1.057</v>
      </c>
      <c r="J30" s="317" t="s">
        <v>562</v>
      </c>
      <c r="K30" s="316">
        <v>15</v>
      </c>
      <c r="L30" s="343" t="s">
        <v>515</v>
      </c>
      <c r="M30" s="339">
        <v>972</v>
      </c>
      <c r="N30" s="317" t="s">
        <v>559</v>
      </c>
      <c r="O30" s="317">
        <v>0</v>
      </c>
      <c r="P30" s="317">
        <v>0</v>
      </c>
      <c r="Q30" s="316" t="s">
        <v>52</v>
      </c>
      <c r="R30" s="316"/>
      <c r="S30" s="316"/>
      <c r="T30" s="316"/>
      <c r="U30" s="316"/>
      <c r="V30" s="316"/>
      <c r="W30" s="316"/>
      <c r="X30" s="318">
        <f>AA30*I30/2000</f>
        <v>0.0011389174999999999</v>
      </c>
      <c r="Y30" s="317">
        <v>0</v>
      </c>
      <c r="Z30" s="317">
        <v>5</v>
      </c>
      <c r="AA30" s="317">
        <v>2.155</v>
      </c>
      <c r="AB30" s="317" t="s">
        <v>560</v>
      </c>
      <c r="AC30" s="330" t="s">
        <v>51</v>
      </c>
    </row>
    <row r="31" spans="1:29" ht="12.75">
      <c r="A31" s="329" t="s">
        <v>48</v>
      </c>
      <c r="B31" s="317">
        <v>3942</v>
      </c>
      <c r="C31" s="316" t="s">
        <v>551</v>
      </c>
      <c r="D31" s="317">
        <v>30600106</v>
      </c>
      <c r="E31" s="316" t="s">
        <v>531</v>
      </c>
      <c r="F31" s="317" t="s">
        <v>75</v>
      </c>
      <c r="G31" s="317">
        <v>271</v>
      </c>
      <c r="H31" s="316" t="s">
        <v>525</v>
      </c>
      <c r="I31" s="317">
        <v>1.03</v>
      </c>
      <c r="J31" s="317" t="s">
        <v>562</v>
      </c>
      <c r="K31" s="316">
        <v>11.8</v>
      </c>
      <c r="L31" s="343" t="s">
        <v>515</v>
      </c>
      <c r="M31" s="339">
        <v>972</v>
      </c>
      <c r="N31" s="317" t="s">
        <v>559</v>
      </c>
      <c r="O31" s="317">
        <v>0</v>
      </c>
      <c r="P31" s="317">
        <v>0</v>
      </c>
      <c r="Q31" s="316" t="s">
        <v>52</v>
      </c>
      <c r="R31" s="316"/>
      <c r="S31" s="316"/>
      <c r="T31" s="316"/>
      <c r="U31" s="316"/>
      <c r="V31" s="316"/>
      <c r="W31" s="316"/>
      <c r="X31" s="318">
        <f>AA31*I31/2000</f>
        <v>0.0011098249999999998</v>
      </c>
      <c r="Y31" s="317">
        <v>0</v>
      </c>
      <c r="Z31" s="317">
        <v>5</v>
      </c>
      <c r="AA31" s="317">
        <v>2.155</v>
      </c>
      <c r="AB31" s="317" t="s">
        <v>560</v>
      </c>
      <c r="AC31" s="330" t="s">
        <v>51</v>
      </c>
    </row>
    <row r="32" spans="1:29" ht="12.75">
      <c r="A32" s="329" t="s">
        <v>48</v>
      </c>
      <c r="B32" s="317">
        <v>4337</v>
      </c>
      <c r="C32" s="316" t="s">
        <v>552</v>
      </c>
      <c r="D32" s="317">
        <v>30600202</v>
      </c>
      <c r="E32" s="316" t="s">
        <v>531</v>
      </c>
      <c r="F32" s="317" t="s">
        <v>75</v>
      </c>
      <c r="G32" s="317">
        <v>261</v>
      </c>
      <c r="H32" s="316" t="s">
        <v>525</v>
      </c>
      <c r="I32" s="317">
        <v>372.096</v>
      </c>
      <c r="J32" s="317" t="s">
        <v>562</v>
      </c>
      <c r="K32" s="316">
        <v>50.1</v>
      </c>
      <c r="L32" s="343" t="s">
        <v>515</v>
      </c>
      <c r="M32" s="339">
        <v>972</v>
      </c>
      <c r="N32" s="317" t="s">
        <v>559</v>
      </c>
      <c r="O32" s="317">
        <v>0</v>
      </c>
      <c r="P32" s="317">
        <v>0</v>
      </c>
      <c r="Q32" s="316" t="s">
        <v>52</v>
      </c>
      <c r="R32" s="316"/>
      <c r="S32" s="316"/>
      <c r="T32" s="316"/>
      <c r="U32" s="316"/>
      <c r="V32" s="316"/>
      <c r="W32" s="316"/>
      <c r="X32" s="318">
        <f>AA32*I32/2000</f>
        <v>0.40093344</v>
      </c>
      <c r="Y32" s="317">
        <v>0</v>
      </c>
      <c r="Z32" s="317">
        <v>5</v>
      </c>
      <c r="AA32" s="317">
        <v>2.155</v>
      </c>
      <c r="AB32" s="317" t="s">
        <v>560</v>
      </c>
      <c r="AC32" s="330" t="s">
        <v>51</v>
      </c>
    </row>
    <row r="33" spans="1:29" ht="12.75">
      <c r="A33" s="329" t="s">
        <v>48</v>
      </c>
      <c r="B33" s="317">
        <v>4345</v>
      </c>
      <c r="C33" s="316" t="s">
        <v>553</v>
      </c>
      <c r="D33" s="317">
        <v>30600904</v>
      </c>
      <c r="E33" s="316" t="s">
        <v>583</v>
      </c>
      <c r="F33" s="317" t="s">
        <v>75</v>
      </c>
      <c r="G33" s="317">
        <v>285</v>
      </c>
      <c r="H33" s="316" t="s">
        <v>582</v>
      </c>
      <c r="I33" s="317">
        <v>8103.831</v>
      </c>
      <c r="J33" s="317" t="s">
        <v>589</v>
      </c>
      <c r="K33" s="316" t="s">
        <v>186</v>
      </c>
      <c r="L33" s="343" t="s">
        <v>51</v>
      </c>
      <c r="M33" s="339" t="s">
        <v>186</v>
      </c>
      <c r="N33" s="317">
        <v>0</v>
      </c>
      <c r="O33" s="317">
        <v>0</v>
      </c>
      <c r="P33" s="317">
        <v>0</v>
      </c>
      <c r="Q33" s="316" t="s">
        <v>52</v>
      </c>
      <c r="R33" s="316" t="s">
        <v>179</v>
      </c>
      <c r="S33" s="316">
        <v>23</v>
      </c>
      <c r="T33" s="316"/>
      <c r="U33" s="316"/>
      <c r="V33" s="316"/>
      <c r="W33" s="316" t="s">
        <v>520</v>
      </c>
      <c r="X33" s="318">
        <f>(AA33*I33*0.46/2000)+Y33</f>
        <v>50.428402397000006</v>
      </c>
      <c r="Y33" s="317">
        <v>0.29</v>
      </c>
      <c r="Z33" s="317">
        <v>3</v>
      </c>
      <c r="AA33" s="317">
        <v>26.9</v>
      </c>
      <c r="AB33" s="322" t="s">
        <v>285</v>
      </c>
      <c r="AC33" s="330" t="s">
        <v>581</v>
      </c>
    </row>
    <row r="34" spans="1:29" ht="12.75">
      <c r="A34" s="329" t="s">
        <v>48</v>
      </c>
      <c r="B34" s="317">
        <v>4346</v>
      </c>
      <c r="C34" s="316" t="s">
        <v>554</v>
      </c>
      <c r="D34" s="317">
        <v>30600904</v>
      </c>
      <c r="E34" s="316" t="s">
        <v>584</v>
      </c>
      <c r="F34" s="317" t="s">
        <v>75</v>
      </c>
      <c r="G34" s="317">
        <v>286</v>
      </c>
      <c r="H34" s="316" t="s">
        <v>525</v>
      </c>
      <c r="I34" s="317">
        <v>8103.831</v>
      </c>
      <c r="J34" s="317" t="s">
        <v>589</v>
      </c>
      <c r="K34" s="316" t="s">
        <v>186</v>
      </c>
      <c r="L34" s="343" t="s">
        <v>51</v>
      </c>
      <c r="M34" s="339" t="s">
        <v>186</v>
      </c>
      <c r="N34" s="317">
        <v>0</v>
      </c>
      <c r="O34" s="317">
        <v>0</v>
      </c>
      <c r="P34" s="317">
        <v>0</v>
      </c>
      <c r="Q34" s="316" t="s">
        <v>52</v>
      </c>
      <c r="R34" s="316" t="s">
        <v>179</v>
      </c>
      <c r="S34" s="316">
        <v>23</v>
      </c>
      <c r="T34" s="316"/>
      <c r="U34" s="316"/>
      <c r="V34" s="316"/>
      <c r="W34" s="316" t="s">
        <v>520</v>
      </c>
      <c r="X34" s="318">
        <f>(AA34*I34*0.54/2000)+Y34</f>
        <v>62.558124553000006</v>
      </c>
      <c r="Y34" s="317">
        <v>3.7</v>
      </c>
      <c r="Z34" s="317">
        <v>3</v>
      </c>
      <c r="AA34" s="317">
        <v>26.9</v>
      </c>
      <c r="AB34" s="322" t="s">
        <v>285</v>
      </c>
      <c r="AC34" s="330" t="s">
        <v>581</v>
      </c>
    </row>
    <row r="35" spans="1:29" ht="12.75">
      <c r="A35" s="331" t="s">
        <v>48</v>
      </c>
      <c r="B35" s="319">
        <v>4347</v>
      </c>
      <c r="C35" s="321" t="s">
        <v>555</v>
      </c>
      <c r="D35" s="319">
        <v>30600904</v>
      </c>
      <c r="E35" s="321" t="s">
        <v>556</v>
      </c>
      <c r="F35" s="319" t="s">
        <v>75</v>
      </c>
      <c r="G35" s="319">
        <v>287</v>
      </c>
      <c r="H35" s="321" t="s">
        <v>228</v>
      </c>
      <c r="I35" s="319">
        <v>420</v>
      </c>
      <c r="J35" s="319" t="s">
        <v>589</v>
      </c>
      <c r="K35" s="321" t="s">
        <v>186</v>
      </c>
      <c r="L35" s="344" t="s">
        <v>51</v>
      </c>
      <c r="M35" s="340">
        <v>2563.3</v>
      </c>
      <c r="N35" s="319" t="s">
        <v>559</v>
      </c>
      <c r="O35" s="319">
        <v>0</v>
      </c>
      <c r="P35" s="319">
        <v>0</v>
      </c>
      <c r="Q35" s="321" t="s">
        <v>52</v>
      </c>
      <c r="R35" s="321"/>
      <c r="S35" s="321"/>
      <c r="T35" s="321"/>
      <c r="U35" s="321"/>
      <c r="V35" s="321"/>
      <c r="W35" s="321"/>
      <c r="X35" s="323">
        <v>0</v>
      </c>
      <c r="Y35" s="319">
        <v>0</v>
      </c>
      <c r="Z35" s="319" t="s">
        <v>51</v>
      </c>
      <c r="AA35" s="319" t="s">
        <v>51</v>
      </c>
      <c r="AB35" s="319">
        <v>0</v>
      </c>
      <c r="AC35" s="332" t="s">
        <v>588</v>
      </c>
    </row>
    <row r="36" spans="1:29" ht="13.5" thickBot="1">
      <c r="A36" s="333" t="s">
        <v>48</v>
      </c>
      <c r="B36" s="334">
        <v>13855</v>
      </c>
      <c r="C36" s="335" t="s">
        <v>557</v>
      </c>
      <c r="D36" s="334">
        <v>30609903</v>
      </c>
      <c r="E36" s="335" t="s">
        <v>531</v>
      </c>
      <c r="F36" s="334" t="s">
        <v>75</v>
      </c>
      <c r="G36" s="334">
        <v>3736</v>
      </c>
      <c r="H36" s="335" t="s">
        <v>525</v>
      </c>
      <c r="I36" s="334">
        <v>0.145</v>
      </c>
      <c r="J36" s="334" t="s">
        <v>562</v>
      </c>
      <c r="K36" s="335">
        <v>3.9</v>
      </c>
      <c r="L36" s="345" t="s">
        <v>515</v>
      </c>
      <c r="M36" s="341">
        <v>972</v>
      </c>
      <c r="N36" s="334" t="s">
        <v>559</v>
      </c>
      <c r="O36" s="334">
        <v>0</v>
      </c>
      <c r="P36" s="334">
        <v>0</v>
      </c>
      <c r="Q36" s="335" t="s">
        <v>52</v>
      </c>
      <c r="R36" s="335"/>
      <c r="S36" s="335"/>
      <c r="T36" s="335"/>
      <c r="U36" s="335"/>
      <c r="V36" s="335"/>
      <c r="W36" s="335"/>
      <c r="X36" s="336">
        <f>AA36*I36/2000</f>
        <v>0.00015623749999999997</v>
      </c>
      <c r="Y36" s="334">
        <v>0</v>
      </c>
      <c r="Z36" s="334">
        <v>5</v>
      </c>
      <c r="AA36" s="334">
        <v>2.155</v>
      </c>
      <c r="AB36" s="334" t="s">
        <v>560</v>
      </c>
      <c r="AC36" s="337" t="s">
        <v>51</v>
      </c>
    </row>
    <row r="37" spans="22:24" ht="13.5" thickBot="1">
      <c r="V37" s="445" t="s">
        <v>79</v>
      </c>
      <c r="W37" s="445"/>
      <c r="X37" s="452">
        <f>SUM(X9:X36)</f>
        <v>863.9936900700002</v>
      </c>
    </row>
    <row r="38" spans="1:24" ht="13.5" thickTop="1">
      <c r="A38" t="s">
        <v>569</v>
      </c>
      <c r="X38" s="45"/>
    </row>
    <row r="39" spans="1:24" ht="12.75">
      <c r="A39" t="s">
        <v>570</v>
      </c>
      <c r="X39" s="45"/>
    </row>
    <row r="40" spans="2:24" ht="12.75">
      <c r="B40" t="s">
        <v>563</v>
      </c>
      <c r="C40" t="s">
        <v>566</v>
      </c>
      <c r="X40" s="45"/>
    </row>
    <row r="41" spans="2:24" ht="12.75">
      <c r="B41" t="s">
        <v>564</v>
      </c>
      <c r="C41" t="s">
        <v>567</v>
      </c>
      <c r="X41" s="45"/>
    </row>
    <row r="42" spans="1:3" ht="12.75">
      <c r="A42" t="s">
        <v>565</v>
      </c>
      <c r="B42" t="s">
        <v>405</v>
      </c>
      <c r="C42" t="s">
        <v>568</v>
      </c>
    </row>
    <row r="44" spans="1:2" ht="12.75">
      <c r="A44" t="s">
        <v>571</v>
      </c>
      <c r="B44" t="s">
        <v>528</v>
      </c>
    </row>
    <row r="45" ht="12.75">
      <c r="A45" t="s">
        <v>575</v>
      </c>
    </row>
    <row r="47" ht="12.75">
      <c r="A47" t="s">
        <v>573</v>
      </c>
    </row>
    <row r="48" ht="12.75">
      <c r="A48" t="s">
        <v>574</v>
      </c>
    </row>
    <row r="50" ht="12.75">
      <c r="A50" s="48" t="s">
        <v>585</v>
      </c>
    </row>
    <row r="51" ht="12.75">
      <c r="A51" t="s">
        <v>586</v>
      </c>
    </row>
    <row r="52" ht="12.75">
      <c r="A52" t="s">
        <v>587</v>
      </c>
    </row>
    <row r="53" ht="12.75">
      <c r="A53" t="s">
        <v>590</v>
      </c>
    </row>
    <row r="55" ht="12.75">
      <c r="A55" t="s">
        <v>591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AC6:AC8"/>
    <mergeCell ref="T6:U6"/>
    <mergeCell ref="V6:V8"/>
    <mergeCell ref="Y6:Y8"/>
    <mergeCell ref="U7:U8"/>
    <mergeCell ref="T7:T8"/>
    <mergeCell ref="Z6:Z8"/>
    <mergeCell ref="AA6:AA8"/>
    <mergeCell ref="AB6:AB8"/>
    <mergeCell ref="W6:X8"/>
  </mergeCells>
  <printOptions/>
  <pageMargins left="0.57" right="0.57" top="1.6" bottom="1" header="0.56" footer="0.5"/>
  <pageSetup horizontalDpi="600" verticalDpi="600" orientation="landscape" pageOrder="overThenDown" r:id="rId1"/>
  <headerFooter alignWithMargins="0">
    <oddHeader>&amp;L
Phillips 66 Company
Site Name:  Phillips Refinery
Site ID:  10123&amp;C&amp;"Arial,Bold"Regional Haze&amp;"Arial,Regular"
1996 Statewide SOx Sources</oddHeader>
    <oddFooter>&amp;R&amp;D
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N30"/>
  <sheetViews>
    <sheetView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4" width="13.8515625" style="0" customWidth="1"/>
    <col min="5" max="5" width="21.00390625" style="0" customWidth="1"/>
    <col min="7" max="7" width="11.140625" style="0" customWidth="1"/>
    <col min="8" max="8" width="12.4218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3" width="2.7109375" style="0" customWidth="1"/>
    <col min="24" max="25" width="11.7109375" style="0" customWidth="1"/>
    <col min="27" max="27" width="11.8515625" style="0" customWidth="1"/>
    <col min="28" max="28" width="10.421875" style="0" customWidth="1"/>
    <col min="29" max="29" width="29.140625" style="0" customWidth="1"/>
  </cols>
  <sheetData>
    <row r="1" spans="1:5" ht="15.75">
      <c r="A1" s="14" t="s">
        <v>1</v>
      </c>
      <c r="B1" s="14"/>
      <c r="C1" s="50" t="s">
        <v>592</v>
      </c>
      <c r="E1" s="4" t="s">
        <v>44</v>
      </c>
    </row>
    <row r="2" spans="1:5" ht="15">
      <c r="A2" s="14"/>
      <c r="B2" s="14"/>
      <c r="E2" s="5" t="s">
        <v>666</v>
      </c>
    </row>
    <row r="3" spans="1:3" ht="12.75">
      <c r="A3" s="14" t="s">
        <v>13</v>
      </c>
      <c r="B3" s="14" t="s">
        <v>14</v>
      </c>
      <c r="C3" s="50" t="s">
        <v>504</v>
      </c>
    </row>
    <row r="4" spans="1:2" ht="12.75">
      <c r="A4" s="49">
        <v>10096</v>
      </c>
      <c r="B4" s="14"/>
    </row>
    <row r="5" ht="13.5" thickBot="1"/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84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611" t="s">
        <v>286</v>
      </c>
      <c r="X6" s="609"/>
      <c r="Y6" s="503" t="s">
        <v>34</v>
      </c>
      <c r="Z6" s="503" t="s">
        <v>36</v>
      </c>
      <c r="AA6" s="503" t="s">
        <v>37</v>
      </c>
      <c r="AB6" s="503" t="s">
        <v>38</v>
      </c>
      <c r="AC6" s="573" t="s">
        <v>39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5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54"/>
      <c r="X7" s="610"/>
      <c r="Y7" s="528"/>
      <c r="Z7" s="528"/>
      <c r="AA7" s="528"/>
      <c r="AB7" s="572"/>
      <c r="AC7" s="574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18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554"/>
      <c r="X8" s="610"/>
      <c r="Y8" s="490"/>
      <c r="Z8" s="490"/>
      <c r="AA8" s="490"/>
      <c r="AB8" s="586"/>
      <c r="AC8" s="587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30" ht="12.75">
      <c r="A9" s="350" t="s">
        <v>48</v>
      </c>
      <c r="B9" s="351">
        <v>11096</v>
      </c>
      <c r="C9" s="352" t="s">
        <v>593</v>
      </c>
      <c r="D9" s="351">
        <v>10200501</v>
      </c>
      <c r="E9" s="352" t="s">
        <v>594</v>
      </c>
      <c r="F9" s="351" t="s">
        <v>75</v>
      </c>
      <c r="G9" s="351">
        <v>3236</v>
      </c>
      <c r="H9" s="352" t="s">
        <v>598</v>
      </c>
      <c r="I9" s="351">
        <v>378231</v>
      </c>
      <c r="J9" s="351" t="s">
        <v>448</v>
      </c>
      <c r="K9" s="352">
        <v>65</v>
      </c>
      <c r="L9" s="351" t="s">
        <v>599</v>
      </c>
      <c r="M9" s="351">
        <v>6458</v>
      </c>
      <c r="N9" s="351" t="s">
        <v>516</v>
      </c>
      <c r="O9" s="351">
        <v>1.23</v>
      </c>
      <c r="P9" s="351">
        <v>46.01</v>
      </c>
      <c r="Q9" s="352" t="s">
        <v>52</v>
      </c>
      <c r="R9" s="351" t="s">
        <v>602</v>
      </c>
      <c r="S9" s="351">
        <v>71</v>
      </c>
      <c r="T9" s="351" t="s">
        <v>499</v>
      </c>
      <c r="U9" s="351">
        <v>16</v>
      </c>
      <c r="V9" s="351">
        <v>86</v>
      </c>
      <c r="W9" s="351" t="s">
        <v>454</v>
      </c>
      <c r="X9" s="353">
        <f>I9*M9/1000000*AA9</f>
        <v>1001.4724771799998</v>
      </c>
      <c r="Y9" s="273">
        <v>0</v>
      </c>
      <c r="Z9" s="351">
        <v>10</v>
      </c>
      <c r="AA9" s="351">
        <v>0.41</v>
      </c>
      <c r="AB9" s="351" t="s">
        <v>603</v>
      </c>
      <c r="AC9" s="354" t="s">
        <v>195</v>
      </c>
      <c r="AD9" s="346"/>
    </row>
    <row r="10" spans="1:30" ht="12.75">
      <c r="A10" s="355" t="s">
        <v>48</v>
      </c>
      <c r="B10" s="348">
        <v>11097</v>
      </c>
      <c r="C10" s="347" t="s">
        <v>595</v>
      </c>
      <c r="D10" s="348">
        <v>10200501</v>
      </c>
      <c r="E10" s="347" t="s">
        <v>594</v>
      </c>
      <c r="F10" s="348" t="s">
        <v>75</v>
      </c>
      <c r="G10" s="348">
        <v>3236</v>
      </c>
      <c r="H10" s="347" t="s">
        <v>207</v>
      </c>
      <c r="I10" s="348">
        <v>165.572</v>
      </c>
      <c r="J10" s="348" t="s">
        <v>610</v>
      </c>
      <c r="K10" s="347">
        <v>1400</v>
      </c>
      <c r="L10" s="348" t="s">
        <v>601</v>
      </c>
      <c r="M10" s="348">
        <v>19460</v>
      </c>
      <c r="N10" s="348" t="s">
        <v>516</v>
      </c>
      <c r="O10" s="348">
        <v>0.85</v>
      </c>
      <c r="P10" s="348">
        <v>0</v>
      </c>
      <c r="Q10" s="347" t="s">
        <v>52</v>
      </c>
      <c r="R10" s="348" t="s">
        <v>602</v>
      </c>
      <c r="S10" s="348">
        <v>71</v>
      </c>
      <c r="T10" s="348" t="s">
        <v>499</v>
      </c>
      <c r="U10" s="348">
        <v>16</v>
      </c>
      <c r="V10" s="348">
        <v>86</v>
      </c>
      <c r="W10" s="348" t="s">
        <v>571</v>
      </c>
      <c r="X10" s="349">
        <f>AA10*I10/2000</f>
        <v>11.0477917</v>
      </c>
      <c r="Y10" s="75">
        <v>0</v>
      </c>
      <c r="Z10" s="348">
        <v>3</v>
      </c>
      <c r="AA10" s="348">
        <v>133.45</v>
      </c>
      <c r="AB10" s="348" t="s">
        <v>604</v>
      </c>
      <c r="AC10" s="356" t="s">
        <v>605</v>
      </c>
      <c r="AD10" s="346"/>
    </row>
    <row r="11" spans="1:30" ht="13.5" thickBot="1">
      <c r="A11" s="357" t="s">
        <v>48</v>
      </c>
      <c r="B11" s="358">
        <v>11098</v>
      </c>
      <c r="C11" s="359" t="s">
        <v>596</v>
      </c>
      <c r="D11" s="358">
        <v>10200501</v>
      </c>
      <c r="E11" s="359" t="s">
        <v>597</v>
      </c>
      <c r="F11" s="358" t="s">
        <v>75</v>
      </c>
      <c r="G11" s="358">
        <v>3237</v>
      </c>
      <c r="H11" s="359" t="s">
        <v>207</v>
      </c>
      <c r="I11" s="358">
        <v>100</v>
      </c>
      <c r="J11" s="358" t="s">
        <v>465</v>
      </c>
      <c r="K11" s="359">
        <v>13.6</v>
      </c>
      <c r="L11" s="358" t="s">
        <v>601</v>
      </c>
      <c r="M11" s="358">
        <v>19460</v>
      </c>
      <c r="N11" s="358" t="s">
        <v>516</v>
      </c>
      <c r="O11" s="358">
        <v>0.85</v>
      </c>
      <c r="P11" s="358">
        <v>0</v>
      </c>
      <c r="Q11" s="359" t="s">
        <v>52</v>
      </c>
      <c r="R11" s="358"/>
      <c r="S11" s="358"/>
      <c r="T11" s="358"/>
      <c r="U11" s="358"/>
      <c r="V11" s="358"/>
      <c r="W11" s="358"/>
      <c r="X11" s="360">
        <f>((I11/42)*5900000)/1000000*0.29/2000</f>
        <v>0.002036904761904762</v>
      </c>
      <c r="Y11" s="252">
        <v>0</v>
      </c>
      <c r="Z11" s="358">
        <v>3</v>
      </c>
      <c r="AA11" s="358">
        <v>0.29</v>
      </c>
      <c r="AB11" s="358" t="s">
        <v>603</v>
      </c>
      <c r="AC11" s="361" t="s">
        <v>606</v>
      </c>
      <c r="AD11" s="346"/>
    </row>
    <row r="12" spans="22:24" ht="13.5" thickBot="1">
      <c r="V12" s="445" t="s">
        <v>409</v>
      </c>
      <c r="W12" s="445"/>
      <c r="X12" s="452">
        <f>SUM(X9:X11)</f>
        <v>1012.5223057847617</v>
      </c>
    </row>
    <row r="13" ht="13.5" thickTop="1"/>
    <row r="14" ht="12.75">
      <c r="C14" s="14" t="s">
        <v>45</v>
      </c>
    </row>
    <row r="15" ht="12.75">
      <c r="C15">
        <v>11096</v>
      </c>
    </row>
    <row r="16" ht="12.75">
      <c r="D16" t="s">
        <v>607</v>
      </c>
    </row>
    <row r="18" spans="3:4" ht="12.75">
      <c r="C18" t="s">
        <v>612</v>
      </c>
      <c r="D18" t="s">
        <v>611</v>
      </c>
    </row>
    <row r="19" ht="12.75">
      <c r="D19" t="s">
        <v>608</v>
      </c>
    </row>
    <row r="20" ht="12.75">
      <c r="D20" t="s">
        <v>609</v>
      </c>
    </row>
    <row r="22" spans="3:4" ht="12.75">
      <c r="C22" s="14">
        <v>11098</v>
      </c>
      <c r="D22" t="s">
        <v>614</v>
      </c>
    </row>
    <row r="23" ht="12.75">
      <c r="D23" t="s">
        <v>823</v>
      </c>
    </row>
    <row r="24" ht="12.75">
      <c r="D24" t="s">
        <v>613</v>
      </c>
    </row>
    <row r="25" ht="12.75">
      <c r="D25" t="s">
        <v>824</v>
      </c>
    </row>
    <row r="26" ht="12.75">
      <c r="D26" t="s">
        <v>615</v>
      </c>
    </row>
    <row r="27" ht="12.75">
      <c r="D27" t="s">
        <v>825</v>
      </c>
    </row>
    <row r="29" ht="12.75">
      <c r="C29" t="s">
        <v>815</v>
      </c>
    </row>
    <row r="30" ht="12.75">
      <c r="C30" t="s">
        <v>814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AC6:AC8"/>
    <mergeCell ref="T6:U6"/>
    <mergeCell ref="V6:V8"/>
    <mergeCell ref="Y6:Y8"/>
    <mergeCell ref="U7:U8"/>
    <mergeCell ref="T7:T8"/>
    <mergeCell ref="Z6:Z8"/>
    <mergeCell ref="AA6:AA8"/>
    <mergeCell ref="AB6:AB8"/>
    <mergeCell ref="W6:X8"/>
  </mergeCells>
  <printOptions/>
  <pageMargins left="0.32" right="0.22" top="1.74" bottom="1" header="0.52" footer="0.5"/>
  <pageSetup horizontalDpi="600" verticalDpi="600" orientation="landscape" r:id="rId1"/>
  <headerFooter alignWithMargins="0">
    <oddHeader>&amp;L
Sunnyside Cogeneration Association
Site Name:  Sunnyside Cogeneration Facility
Site ID:  10096&amp;CRegional Haze
1996 Statewide SOx Sources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N3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9.7109375" style="0" customWidth="1"/>
    <col min="5" max="5" width="25.00390625" style="0" customWidth="1"/>
    <col min="6" max="6" width="8.28125" style="0" customWidth="1"/>
    <col min="7" max="7" width="10.7109375" style="0" customWidth="1"/>
    <col min="8" max="8" width="15.140625" style="0" customWidth="1"/>
    <col min="11" max="11" width="8.00390625" style="0" customWidth="1"/>
    <col min="13" max="13" width="7.8515625" style="0" customWidth="1"/>
    <col min="14" max="14" width="6.28125" style="0" customWidth="1"/>
    <col min="15" max="15" width="7.421875" style="0" customWidth="1"/>
    <col min="16" max="16" width="6.57421875" style="0" customWidth="1"/>
    <col min="18" max="18" width="20.140625" style="0" customWidth="1"/>
    <col min="19" max="19" width="9.28125" style="0" customWidth="1"/>
    <col min="20" max="20" width="17.8515625" style="0" customWidth="1"/>
    <col min="22" max="22" width="9.8515625" style="0" customWidth="1"/>
    <col min="23" max="23" width="10.421875" style="0" customWidth="1"/>
    <col min="24" max="24" width="11.7109375" style="0" customWidth="1"/>
    <col min="25" max="25" width="8.421875" style="0" customWidth="1"/>
    <col min="26" max="26" width="8.57421875" style="0" customWidth="1"/>
    <col min="28" max="28" width="13.140625" style="0" customWidth="1"/>
  </cols>
  <sheetData>
    <row r="1" spans="1:5" ht="15.75">
      <c r="A1" s="14" t="s">
        <v>1</v>
      </c>
      <c r="B1" s="14"/>
      <c r="C1" s="35" t="s">
        <v>616</v>
      </c>
      <c r="E1" s="4" t="s">
        <v>44</v>
      </c>
    </row>
    <row r="2" spans="1:5" ht="15">
      <c r="A2" s="14"/>
      <c r="B2" s="14"/>
      <c r="E2" s="5" t="s">
        <v>666</v>
      </c>
    </row>
    <row r="3" spans="1:3" ht="12.75">
      <c r="A3" s="14" t="s">
        <v>13</v>
      </c>
      <c r="B3" s="14" t="s">
        <v>14</v>
      </c>
      <c r="C3" s="35" t="s">
        <v>505</v>
      </c>
    </row>
    <row r="4" spans="1:2" ht="12.75">
      <c r="A4" s="34">
        <v>10047</v>
      </c>
      <c r="B4" s="14"/>
    </row>
    <row r="5" ht="13.5" thickBot="1"/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84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70" t="s">
        <v>286</v>
      </c>
      <c r="X6" s="515" t="s">
        <v>34</v>
      </c>
      <c r="Y6" s="503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5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71"/>
      <c r="X7" s="575"/>
      <c r="Y7" s="528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18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604"/>
      <c r="X8" s="603"/>
      <c r="Y8" s="490"/>
      <c r="Z8" s="490"/>
      <c r="AA8" s="586"/>
      <c r="AB8" s="58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30" ht="12.75">
      <c r="A9" s="368" t="s">
        <v>48</v>
      </c>
      <c r="B9" s="372">
        <v>13894</v>
      </c>
      <c r="C9" s="364" t="s">
        <v>617</v>
      </c>
      <c r="D9" s="363">
        <v>10300601</v>
      </c>
      <c r="E9" s="364" t="s">
        <v>618</v>
      </c>
      <c r="F9" s="363" t="s">
        <v>75</v>
      </c>
      <c r="G9" s="363">
        <v>3742</v>
      </c>
      <c r="H9" s="364" t="s">
        <v>177</v>
      </c>
      <c r="I9" s="363">
        <v>158</v>
      </c>
      <c r="J9" s="364" t="s">
        <v>562</v>
      </c>
      <c r="K9" s="363">
        <v>220000</v>
      </c>
      <c r="L9" s="365" t="s">
        <v>621</v>
      </c>
      <c r="M9" s="369">
        <v>0</v>
      </c>
      <c r="N9" s="363" t="s">
        <v>625</v>
      </c>
      <c r="O9" s="363">
        <v>0</v>
      </c>
      <c r="P9" s="363">
        <v>0</v>
      </c>
      <c r="Q9" s="364" t="s">
        <v>52</v>
      </c>
      <c r="R9" s="364" t="s">
        <v>622</v>
      </c>
      <c r="S9" s="364">
        <v>99</v>
      </c>
      <c r="T9" s="364" t="s">
        <v>624</v>
      </c>
      <c r="U9" s="364">
        <v>8</v>
      </c>
      <c r="V9" s="364">
        <v>0</v>
      </c>
      <c r="W9" s="374">
        <f>(Z9*I9/2000)</f>
        <v>0.0474</v>
      </c>
      <c r="X9" s="372">
        <v>0</v>
      </c>
      <c r="Y9" s="363">
        <v>3</v>
      </c>
      <c r="Z9" s="363">
        <v>0.6</v>
      </c>
      <c r="AA9" s="363" t="s">
        <v>86</v>
      </c>
      <c r="AB9" s="365" t="s">
        <v>51</v>
      </c>
      <c r="AC9" s="362"/>
      <c r="AD9" s="34"/>
    </row>
    <row r="10" spans="1:30" ht="12.75">
      <c r="A10" s="161" t="s">
        <v>48</v>
      </c>
      <c r="B10" s="166">
        <v>13896</v>
      </c>
      <c r="C10" s="147" t="s">
        <v>48</v>
      </c>
      <c r="D10" s="148">
        <v>10300601</v>
      </c>
      <c r="E10" s="147" t="s">
        <v>618</v>
      </c>
      <c r="F10" s="148" t="s">
        <v>75</v>
      </c>
      <c r="G10" s="148">
        <v>3743</v>
      </c>
      <c r="H10" s="147" t="s">
        <v>177</v>
      </c>
      <c r="I10" s="148">
        <v>158</v>
      </c>
      <c r="J10" s="147" t="s">
        <v>562</v>
      </c>
      <c r="K10" s="148">
        <v>220000</v>
      </c>
      <c r="L10" s="366" t="s">
        <v>621</v>
      </c>
      <c r="M10" s="370">
        <v>0</v>
      </c>
      <c r="N10" s="148" t="s">
        <v>625</v>
      </c>
      <c r="O10" s="148">
        <v>0</v>
      </c>
      <c r="P10" s="148">
        <v>0</v>
      </c>
      <c r="Q10" s="147" t="s">
        <v>52</v>
      </c>
      <c r="R10" s="147" t="s">
        <v>622</v>
      </c>
      <c r="S10" s="147">
        <v>99</v>
      </c>
      <c r="T10" s="147" t="s">
        <v>624</v>
      </c>
      <c r="U10" s="147">
        <v>8</v>
      </c>
      <c r="V10" s="147">
        <v>0</v>
      </c>
      <c r="W10" s="375">
        <f>Z10*I10/2000</f>
        <v>0.0474</v>
      </c>
      <c r="X10" s="166">
        <v>0</v>
      </c>
      <c r="Y10" s="148">
        <v>3</v>
      </c>
      <c r="Z10" s="148">
        <v>0.6</v>
      </c>
      <c r="AA10" s="148" t="s">
        <v>86</v>
      </c>
      <c r="AB10" s="366" t="s">
        <v>51</v>
      </c>
      <c r="AC10" s="362"/>
      <c r="AD10" s="34"/>
    </row>
    <row r="11" spans="1:30" ht="12.75">
      <c r="A11" s="161" t="s">
        <v>48</v>
      </c>
      <c r="B11" s="166">
        <v>13898</v>
      </c>
      <c r="C11" s="147">
        <v>3</v>
      </c>
      <c r="D11" s="148">
        <v>10300601</v>
      </c>
      <c r="E11" s="147" t="s">
        <v>618</v>
      </c>
      <c r="F11" s="148" t="s">
        <v>75</v>
      </c>
      <c r="G11" s="148">
        <v>3744</v>
      </c>
      <c r="H11" s="147" t="s">
        <v>619</v>
      </c>
      <c r="I11" s="148">
        <v>7153</v>
      </c>
      <c r="J11" s="147" t="s">
        <v>626</v>
      </c>
      <c r="K11" s="148">
        <v>750000</v>
      </c>
      <c r="L11" s="373" t="s">
        <v>621</v>
      </c>
      <c r="M11" s="370">
        <v>0</v>
      </c>
      <c r="N11" s="148" t="s">
        <v>625</v>
      </c>
      <c r="O11" s="148">
        <v>0.49</v>
      </c>
      <c r="P11" s="148">
        <v>6.88</v>
      </c>
      <c r="Q11" s="147" t="s">
        <v>52</v>
      </c>
      <c r="R11" s="147" t="s">
        <v>622</v>
      </c>
      <c r="S11" s="147">
        <v>99</v>
      </c>
      <c r="T11" s="147" t="s">
        <v>624</v>
      </c>
      <c r="U11" s="147">
        <v>8</v>
      </c>
      <c r="V11" s="147">
        <v>0</v>
      </c>
      <c r="W11" s="375">
        <f>I11*0.49*Z11/2000</f>
        <v>66.59442999999999</v>
      </c>
      <c r="X11" s="166">
        <v>0</v>
      </c>
      <c r="Y11" s="148">
        <v>3</v>
      </c>
      <c r="Z11" s="148">
        <v>38</v>
      </c>
      <c r="AA11" s="148" t="s">
        <v>630</v>
      </c>
      <c r="AB11" s="366" t="s">
        <v>51</v>
      </c>
      <c r="AC11" s="362"/>
      <c r="AD11" s="34"/>
    </row>
    <row r="12" spans="1:30" ht="12.75">
      <c r="A12" s="161" t="s">
        <v>48</v>
      </c>
      <c r="B12" s="166">
        <v>13907</v>
      </c>
      <c r="C12" s="147" t="s">
        <v>61</v>
      </c>
      <c r="D12" s="148">
        <v>10300209</v>
      </c>
      <c r="E12" s="147" t="s">
        <v>618</v>
      </c>
      <c r="F12" s="148" t="s">
        <v>75</v>
      </c>
      <c r="G12" s="148">
        <v>3745</v>
      </c>
      <c r="H12" s="147" t="s">
        <v>100</v>
      </c>
      <c r="I12" s="148">
        <v>1431</v>
      </c>
      <c r="J12" s="147" t="s">
        <v>626</v>
      </c>
      <c r="K12" s="148">
        <v>600000</v>
      </c>
      <c r="L12" s="366" t="s">
        <v>621</v>
      </c>
      <c r="M12" s="370">
        <v>0</v>
      </c>
      <c r="N12" s="148" t="s">
        <v>625</v>
      </c>
      <c r="O12" s="148">
        <v>0.49</v>
      </c>
      <c r="P12" s="148">
        <v>6.88</v>
      </c>
      <c r="Q12" s="147" t="s">
        <v>52</v>
      </c>
      <c r="R12" s="147" t="s">
        <v>622</v>
      </c>
      <c r="S12" s="147">
        <v>99</v>
      </c>
      <c r="T12" s="147" t="s">
        <v>624</v>
      </c>
      <c r="U12" s="147">
        <v>8</v>
      </c>
      <c r="V12" s="147">
        <v>0</v>
      </c>
      <c r="W12" s="375">
        <f>Z12*I12*O12/2000</f>
        <v>13.322610000000001</v>
      </c>
      <c r="X12" s="166">
        <v>0</v>
      </c>
      <c r="Y12" s="148">
        <v>3</v>
      </c>
      <c r="Z12" s="148">
        <v>38</v>
      </c>
      <c r="AA12" s="148" t="s">
        <v>630</v>
      </c>
      <c r="AB12" s="366" t="s">
        <v>51</v>
      </c>
      <c r="AC12" s="362"/>
      <c r="AD12" s="34"/>
    </row>
    <row r="13" spans="1:30" ht="12.75">
      <c r="A13" s="161" t="s">
        <v>48</v>
      </c>
      <c r="B13" s="166">
        <v>13908</v>
      </c>
      <c r="C13" s="147">
        <v>5</v>
      </c>
      <c r="D13" s="148">
        <v>10300601</v>
      </c>
      <c r="E13" s="147" t="s">
        <v>618</v>
      </c>
      <c r="F13" s="148" t="s">
        <v>75</v>
      </c>
      <c r="G13" s="148">
        <v>3746</v>
      </c>
      <c r="H13" s="147" t="s">
        <v>117</v>
      </c>
      <c r="I13" s="148">
        <v>5722</v>
      </c>
      <c r="J13" s="147" t="s">
        <v>626</v>
      </c>
      <c r="K13" s="148">
        <v>750000</v>
      </c>
      <c r="L13" s="373" t="s">
        <v>621</v>
      </c>
      <c r="M13" s="370">
        <v>1039</v>
      </c>
      <c r="N13" s="148" t="s">
        <v>625</v>
      </c>
      <c r="O13" s="148">
        <v>0.49</v>
      </c>
      <c r="P13" s="148">
        <v>6.88</v>
      </c>
      <c r="Q13" s="147" t="s">
        <v>52</v>
      </c>
      <c r="R13" s="147" t="s">
        <v>622</v>
      </c>
      <c r="S13" s="147">
        <v>99</v>
      </c>
      <c r="T13" s="147" t="s">
        <v>624</v>
      </c>
      <c r="U13" s="147">
        <v>8</v>
      </c>
      <c r="V13" s="147">
        <v>0</v>
      </c>
      <c r="W13" s="375">
        <f>Z13*0.49*I13/2000</f>
        <v>53.27182</v>
      </c>
      <c r="X13" s="166">
        <v>0</v>
      </c>
      <c r="Y13" s="148">
        <v>3</v>
      </c>
      <c r="Z13" s="148">
        <v>38</v>
      </c>
      <c r="AA13" s="148" t="s">
        <v>630</v>
      </c>
      <c r="AB13" s="366" t="s">
        <v>51</v>
      </c>
      <c r="AC13" s="362"/>
      <c r="AD13" s="34"/>
    </row>
    <row r="14" spans="1:30" ht="12.75">
      <c r="A14" s="161">
        <v>2</v>
      </c>
      <c r="B14" s="166">
        <v>13908</v>
      </c>
      <c r="C14" s="147">
        <v>5</v>
      </c>
      <c r="D14" s="148">
        <v>10300601</v>
      </c>
      <c r="E14" s="147" t="s">
        <v>618</v>
      </c>
      <c r="F14" s="148" t="s">
        <v>75</v>
      </c>
      <c r="G14" s="148">
        <v>3746</v>
      </c>
      <c r="H14" s="147" t="s">
        <v>627</v>
      </c>
      <c r="I14" s="148">
        <v>56000</v>
      </c>
      <c r="J14" s="147" t="s">
        <v>628</v>
      </c>
      <c r="K14" s="148"/>
      <c r="L14" s="373"/>
      <c r="M14" s="370"/>
      <c r="N14" s="148"/>
      <c r="O14" s="148">
        <v>0.24</v>
      </c>
      <c r="P14" s="148"/>
      <c r="Q14" s="147" t="s">
        <v>52</v>
      </c>
      <c r="R14" s="147" t="s">
        <v>622</v>
      </c>
      <c r="S14" s="147">
        <v>99</v>
      </c>
      <c r="T14" s="147" t="s">
        <v>624</v>
      </c>
      <c r="U14" s="147">
        <v>8</v>
      </c>
      <c r="V14" s="147">
        <v>0</v>
      </c>
      <c r="W14" s="375">
        <v>1.09</v>
      </c>
      <c r="X14" s="166">
        <v>0</v>
      </c>
      <c r="Y14" s="148">
        <v>3</v>
      </c>
      <c r="Z14" s="148">
        <v>162.7</v>
      </c>
      <c r="AA14" s="148" t="s">
        <v>630</v>
      </c>
      <c r="AB14" s="366"/>
      <c r="AC14" s="362"/>
      <c r="AD14" s="34"/>
    </row>
    <row r="15" spans="1:30" ht="13.5" thickBot="1">
      <c r="A15" s="162" t="s">
        <v>48</v>
      </c>
      <c r="B15" s="168">
        <v>13910</v>
      </c>
      <c r="C15" s="156" t="s">
        <v>65</v>
      </c>
      <c r="D15" s="155">
        <v>39990013</v>
      </c>
      <c r="E15" s="156" t="s">
        <v>620</v>
      </c>
      <c r="F15" s="155" t="s">
        <v>75</v>
      </c>
      <c r="G15" s="155">
        <v>3747</v>
      </c>
      <c r="H15" s="156" t="s">
        <v>177</v>
      </c>
      <c r="I15" s="155">
        <v>0.558</v>
      </c>
      <c r="J15" s="155" t="s">
        <v>621</v>
      </c>
      <c r="K15" s="155">
        <v>6</v>
      </c>
      <c r="L15" s="367" t="s">
        <v>629</v>
      </c>
      <c r="M15" s="371">
        <v>0</v>
      </c>
      <c r="N15" s="155" t="s">
        <v>625</v>
      </c>
      <c r="O15" s="155">
        <v>0</v>
      </c>
      <c r="P15" s="155">
        <v>0</v>
      </c>
      <c r="Q15" s="156" t="s">
        <v>52</v>
      </c>
      <c r="R15" s="156" t="s">
        <v>623</v>
      </c>
      <c r="S15" s="156">
        <v>21</v>
      </c>
      <c r="T15" s="156"/>
      <c r="U15" s="156"/>
      <c r="V15" s="156">
        <v>0</v>
      </c>
      <c r="W15" s="376">
        <f>Z15*I15/2000</f>
        <v>0.00016740000000000003</v>
      </c>
      <c r="X15" s="168">
        <v>0</v>
      </c>
      <c r="Y15" s="155">
        <v>3</v>
      </c>
      <c r="Z15" s="155">
        <v>0.6</v>
      </c>
      <c r="AA15" s="155" t="s">
        <v>630</v>
      </c>
      <c r="AB15" s="367" t="s">
        <v>51</v>
      </c>
      <c r="AC15" s="362"/>
      <c r="AD15" s="34"/>
    </row>
    <row r="16" spans="22:23" ht="13.5" thickBot="1">
      <c r="V16" s="445" t="s">
        <v>79</v>
      </c>
      <c r="W16" s="452">
        <f>SUM(W9:W15)</f>
        <v>134.3738274</v>
      </c>
    </row>
    <row r="17" ht="13.5" thickTop="1">
      <c r="C17" t="s">
        <v>638</v>
      </c>
    </row>
    <row r="19" ht="12.75">
      <c r="C19" s="14" t="s">
        <v>45</v>
      </c>
    </row>
    <row r="20" ht="12.75">
      <c r="C20" t="s">
        <v>633</v>
      </c>
    </row>
    <row r="21" ht="12.75">
      <c r="D21" t="s">
        <v>631</v>
      </c>
    </row>
    <row r="22" ht="12.75">
      <c r="D22" t="s">
        <v>632</v>
      </c>
    </row>
    <row r="24" ht="12.75">
      <c r="C24">
        <v>13898</v>
      </c>
    </row>
    <row r="25" ht="12.75">
      <c r="D25" t="s">
        <v>826</v>
      </c>
    </row>
    <row r="27" ht="12.75">
      <c r="C27">
        <v>13907</v>
      </c>
    </row>
    <row r="28" ht="12.75">
      <c r="D28" t="s">
        <v>827</v>
      </c>
    </row>
    <row r="30" spans="3:4" ht="12.75">
      <c r="C30">
        <v>13908</v>
      </c>
      <c r="D30" t="s">
        <v>634</v>
      </c>
    </row>
    <row r="31" ht="12.75">
      <c r="D31" t="s">
        <v>828</v>
      </c>
    </row>
    <row r="33" spans="3:4" ht="12.75">
      <c r="C33">
        <v>13908</v>
      </c>
      <c r="D33" t="s">
        <v>635</v>
      </c>
    </row>
    <row r="34" ht="12.75">
      <c r="D34" t="s">
        <v>829</v>
      </c>
    </row>
    <row r="36" spans="3:4" ht="12.75">
      <c r="C36">
        <v>13910</v>
      </c>
      <c r="D36" t="s">
        <v>636</v>
      </c>
    </row>
    <row r="37" ht="12.75">
      <c r="D37" t="s">
        <v>637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7:T8"/>
    <mergeCell ref="AB6:AB8"/>
    <mergeCell ref="X6:X8"/>
    <mergeCell ref="Y6:Y8"/>
    <mergeCell ref="Z6:Z8"/>
    <mergeCell ref="AA6:AA8"/>
    <mergeCell ref="T6:U6"/>
    <mergeCell ref="V6:V8"/>
    <mergeCell ref="W6:W8"/>
    <mergeCell ref="U7:U8"/>
  </mergeCells>
  <printOptions/>
  <pageMargins left="0.49" right="0.54" top="1.63" bottom="0.69" header="0.5" footer="0.29"/>
  <pageSetup horizontalDpi="600" verticalDpi="600" orientation="landscape" r:id="rId1"/>
  <headerFooter alignWithMargins="0">
    <oddHeader>&amp;L
Utah State University
Site Name:  Heating plant - Primary Source
Site ID:  10047&amp;C&amp;"Arial,Bold"Regional Haze&amp;"Arial,Regular"
1996 Statewide SOx Sources</oddHeader>
    <oddFooter>&amp;R&amp;D
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N3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7.28125" style="0" customWidth="1"/>
    <col min="5" max="5" width="33.8515625" style="0" customWidth="1"/>
    <col min="6" max="6" width="8.140625" style="0" customWidth="1"/>
    <col min="7" max="7" width="10.57421875" style="0" customWidth="1"/>
    <col min="8" max="8" width="15.7109375" style="0" customWidth="1"/>
    <col min="10" max="10" width="10.00390625" style="0" customWidth="1"/>
    <col min="11" max="11" width="7.8515625" style="0" customWidth="1"/>
    <col min="12" max="12" width="6.28125" style="0" customWidth="1"/>
    <col min="13" max="13" width="8.00390625" style="0" customWidth="1"/>
    <col min="14" max="14" width="7.8515625" style="0" customWidth="1"/>
    <col min="15" max="15" width="7.28125" style="0" customWidth="1"/>
    <col min="16" max="16" width="6.00390625" style="0" customWidth="1"/>
    <col min="18" max="18" width="16.140625" style="0" customWidth="1"/>
    <col min="20" max="20" width="18.421875" style="0" customWidth="1"/>
    <col min="22" max="22" width="9.8515625" style="0" customWidth="1"/>
    <col min="23" max="23" width="10.00390625" style="23" customWidth="1"/>
    <col min="24" max="24" width="11.7109375" style="0" customWidth="1"/>
    <col min="27" max="27" width="11.140625" style="0" customWidth="1"/>
    <col min="28" max="28" width="22.421875" style="0" customWidth="1"/>
  </cols>
  <sheetData>
    <row r="1" spans="1:5" ht="15.75">
      <c r="A1" s="14" t="s">
        <v>1</v>
      </c>
      <c r="B1" s="14"/>
      <c r="C1" s="7" t="s">
        <v>639</v>
      </c>
      <c r="E1" s="4" t="s">
        <v>44</v>
      </c>
    </row>
    <row r="2" spans="1:5" ht="15">
      <c r="A2" s="14"/>
      <c r="B2" s="14"/>
      <c r="E2" s="5" t="s">
        <v>666</v>
      </c>
    </row>
    <row r="3" spans="1:3" ht="12.75">
      <c r="A3" s="14" t="s">
        <v>13</v>
      </c>
      <c r="B3" s="14" t="s">
        <v>14</v>
      </c>
      <c r="C3" s="7" t="s">
        <v>640</v>
      </c>
    </row>
    <row r="4" spans="1:2" ht="12.75">
      <c r="A4" s="6">
        <v>10081</v>
      </c>
      <c r="B4" s="14"/>
    </row>
    <row r="5" ht="13.5" thickBot="1"/>
    <row r="6" spans="1:66" ht="16.5" customHeight="1">
      <c r="A6" s="605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82" t="s">
        <v>286</v>
      </c>
      <c r="X6" s="573" t="s">
        <v>34</v>
      </c>
      <c r="Y6" s="515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60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83"/>
      <c r="X7" s="574"/>
      <c r="Y7" s="575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>
      <c r="A8" s="606"/>
      <c r="B8" s="581"/>
      <c r="C8" s="577"/>
      <c r="D8" s="577"/>
      <c r="E8" s="577"/>
      <c r="F8" s="577"/>
      <c r="G8" s="577"/>
      <c r="H8" s="577"/>
      <c r="I8" s="66" t="s">
        <v>17</v>
      </c>
      <c r="J8" s="66" t="s">
        <v>18</v>
      </c>
      <c r="K8" s="66" t="s">
        <v>16</v>
      </c>
      <c r="L8" s="150" t="s">
        <v>19</v>
      </c>
      <c r="M8" s="170" t="s">
        <v>20</v>
      </c>
      <c r="N8" s="66" t="s">
        <v>19</v>
      </c>
      <c r="O8" s="66" t="s">
        <v>21</v>
      </c>
      <c r="P8" s="66" t="s">
        <v>22</v>
      </c>
      <c r="Q8" s="572"/>
      <c r="R8" s="528"/>
      <c r="S8" s="528"/>
      <c r="T8" s="572"/>
      <c r="U8" s="528"/>
      <c r="V8" s="528"/>
      <c r="W8" s="583"/>
      <c r="X8" s="574"/>
      <c r="Y8" s="575"/>
      <c r="Z8" s="528"/>
      <c r="AA8" s="572"/>
      <c r="AB8" s="5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30" ht="12.75">
      <c r="A9" s="453" t="s">
        <v>48</v>
      </c>
      <c r="B9" s="383">
        <v>3974</v>
      </c>
      <c r="C9" s="7" t="s">
        <v>49</v>
      </c>
      <c r="D9" s="6">
        <v>10100212</v>
      </c>
      <c r="E9" s="7" t="s">
        <v>641</v>
      </c>
      <c r="F9" s="6" t="s">
        <v>75</v>
      </c>
      <c r="G9" s="6">
        <v>1001</v>
      </c>
      <c r="H9" s="7" t="s">
        <v>100</v>
      </c>
      <c r="I9" s="6">
        <v>275828</v>
      </c>
      <c r="J9" s="6" t="s">
        <v>448</v>
      </c>
      <c r="K9" s="6">
        <v>55.6</v>
      </c>
      <c r="L9" s="384" t="s">
        <v>388</v>
      </c>
      <c r="M9" s="383">
        <v>12101</v>
      </c>
      <c r="N9" s="6" t="s">
        <v>516</v>
      </c>
      <c r="O9" s="6">
        <v>0.43</v>
      </c>
      <c r="P9" s="6">
        <v>9.18</v>
      </c>
      <c r="Q9" s="7" t="s">
        <v>52</v>
      </c>
      <c r="R9" s="7"/>
      <c r="S9" s="7"/>
      <c r="T9" s="7"/>
      <c r="U9" s="7"/>
      <c r="V9" s="7"/>
      <c r="W9" s="10">
        <f>(Z9*I9*2000*M9/2000)/1000000</f>
        <v>2072.770463988</v>
      </c>
      <c r="X9" s="384">
        <v>0</v>
      </c>
      <c r="Y9" s="383">
        <v>10</v>
      </c>
      <c r="Z9" s="6">
        <v>0.621</v>
      </c>
      <c r="AA9" s="6" t="s">
        <v>652</v>
      </c>
      <c r="AB9" s="378" t="s">
        <v>642</v>
      </c>
      <c r="AC9" s="377"/>
      <c r="AD9" s="6"/>
    </row>
    <row r="10" spans="1:30" ht="12.75">
      <c r="A10" s="453" t="s">
        <v>48</v>
      </c>
      <c r="B10" s="383">
        <v>3976</v>
      </c>
      <c r="C10" s="7" t="s">
        <v>48</v>
      </c>
      <c r="D10" s="6">
        <v>10100212</v>
      </c>
      <c r="E10" s="7" t="s">
        <v>641</v>
      </c>
      <c r="F10" s="6" t="s">
        <v>75</v>
      </c>
      <c r="G10" s="6">
        <v>1002</v>
      </c>
      <c r="H10" s="7" t="s">
        <v>100</v>
      </c>
      <c r="I10" s="6">
        <v>375887</v>
      </c>
      <c r="J10" s="6" t="s">
        <v>448</v>
      </c>
      <c r="K10" s="6">
        <v>41.7</v>
      </c>
      <c r="L10" s="384" t="s">
        <v>388</v>
      </c>
      <c r="M10" s="383">
        <v>12106</v>
      </c>
      <c r="N10" s="6" t="s">
        <v>516</v>
      </c>
      <c r="O10" s="6">
        <v>0.43</v>
      </c>
      <c r="P10" s="6">
        <v>9.13</v>
      </c>
      <c r="Q10" s="7" t="s">
        <v>52</v>
      </c>
      <c r="R10" s="7"/>
      <c r="S10" s="7"/>
      <c r="T10" s="7"/>
      <c r="U10" s="7"/>
      <c r="V10" s="7"/>
      <c r="W10" s="10">
        <f>Z10*I10*2000*M10/2000/1000000</f>
        <v>2844.05501375</v>
      </c>
      <c r="X10" s="384">
        <v>0</v>
      </c>
      <c r="Y10" s="383">
        <v>10</v>
      </c>
      <c r="Z10" s="6">
        <v>0.625</v>
      </c>
      <c r="AA10" s="6" t="s">
        <v>652</v>
      </c>
      <c r="AB10" s="378" t="s">
        <v>642</v>
      </c>
      <c r="AC10" s="377"/>
      <c r="AD10" s="6"/>
    </row>
    <row r="11" spans="1:30" ht="12.75">
      <c r="A11" s="453" t="s">
        <v>48</v>
      </c>
      <c r="B11" s="383">
        <v>8910</v>
      </c>
      <c r="C11" s="7" t="s">
        <v>55</v>
      </c>
      <c r="D11" s="6">
        <v>10100501</v>
      </c>
      <c r="E11" s="7" t="s">
        <v>641</v>
      </c>
      <c r="F11" s="6" t="s">
        <v>75</v>
      </c>
      <c r="G11" s="6">
        <v>1001</v>
      </c>
      <c r="H11" s="7" t="s">
        <v>207</v>
      </c>
      <c r="I11" s="6">
        <v>24715</v>
      </c>
      <c r="J11" s="6" t="s">
        <v>600</v>
      </c>
      <c r="K11" s="6">
        <v>0</v>
      </c>
      <c r="L11" s="384">
        <v>0</v>
      </c>
      <c r="M11" s="383">
        <v>140000</v>
      </c>
      <c r="N11" s="6" t="s">
        <v>656</v>
      </c>
      <c r="O11" s="6">
        <v>0.1</v>
      </c>
      <c r="P11" s="6">
        <v>0</v>
      </c>
      <c r="Q11" s="7" t="s">
        <v>52</v>
      </c>
      <c r="R11" s="7"/>
      <c r="S11" s="7"/>
      <c r="T11" s="7"/>
      <c r="U11" s="7"/>
      <c r="V11" s="7"/>
      <c r="W11" s="10">
        <f>Z11*I11/1000/2000</f>
        <v>0.173005</v>
      </c>
      <c r="X11" s="384">
        <v>0</v>
      </c>
      <c r="Y11" s="383">
        <v>3</v>
      </c>
      <c r="Z11" s="6">
        <v>14</v>
      </c>
      <c r="AA11" s="6" t="s">
        <v>657</v>
      </c>
      <c r="AB11" s="378" t="s">
        <v>643</v>
      </c>
      <c r="AC11" s="377"/>
      <c r="AD11" s="6"/>
    </row>
    <row r="12" spans="1:30" ht="12.75">
      <c r="A12" s="453" t="s">
        <v>48</v>
      </c>
      <c r="B12" s="383">
        <v>8911</v>
      </c>
      <c r="C12" s="7" t="s">
        <v>61</v>
      </c>
      <c r="D12" s="6">
        <v>10100501</v>
      </c>
      <c r="E12" s="7" t="s">
        <v>641</v>
      </c>
      <c r="F12" s="6" t="s">
        <v>75</v>
      </c>
      <c r="G12" s="6">
        <v>1002</v>
      </c>
      <c r="H12" s="7" t="s">
        <v>207</v>
      </c>
      <c r="I12" s="6">
        <v>42593</v>
      </c>
      <c r="J12" s="6" t="s">
        <v>600</v>
      </c>
      <c r="K12" s="6">
        <v>0</v>
      </c>
      <c r="L12" s="384">
        <v>0</v>
      </c>
      <c r="M12" s="383">
        <v>140000</v>
      </c>
      <c r="N12" s="6" t="s">
        <v>656</v>
      </c>
      <c r="O12" s="6">
        <v>0.1</v>
      </c>
      <c r="P12" s="6">
        <v>0</v>
      </c>
      <c r="Q12" s="7" t="s">
        <v>52</v>
      </c>
      <c r="R12" s="7"/>
      <c r="S12" s="7"/>
      <c r="T12" s="7"/>
      <c r="U12" s="7"/>
      <c r="V12" s="7"/>
      <c r="W12" s="10">
        <f>Z12*I12/1000/2000</f>
        <v>0.298151</v>
      </c>
      <c r="X12" s="384">
        <v>0</v>
      </c>
      <c r="Y12" s="383">
        <v>3</v>
      </c>
      <c r="Z12" s="6">
        <v>14</v>
      </c>
      <c r="AA12" s="6" t="s">
        <v>657</v>
      </c>
      <c r="AB12" s="378" t="s">
        <v>644</v>
      </c>
      <c r="AC12" s="377"/>
      <c r="AD12" s="6"/>
    </row>
    <row r="13" spans="1:30" ht="12.75">
      <c r="A13" s="453" t="s">
        <v>97</v>
      </c>
      <c r="B13" s="383">
        <v>9138</v>
      </c>
      <c r="C13" s="7" t="s">
        <v>645</v>
      </c>
      <c r="D13" s="6">
        <v>30501039</v>
      </c>
      <c r="E13" s="7" t="s">
        <v>646</v>
      </c>
      <c r="F13" s="6" t="s">
        <v>75</v>
      </c>
      <c r="G13" s="6">
        <v>0</v>
      </c>
      <c r="H13" s="7" t="s">
        <v>207</v>
      </c>
      <c r="I13" s="6">
        <v>2080</v>
      </c>
      <c r="J13" s="6" t="s">
        <v>120</v>
      </c>
      <c r="K13" s="6">
        <v>0</v>
      </c>
      <c r="L13" s="384">
        <v>0</v>
      </c>
      <c r="M13" s="383">
        <v>0</v>
      </c>
      <c r="N13" s="6">
        <v>0</v>
      </c>
      <c r="O13" s="6">
        <v>0</v>
      </c>
      <c r="P13" s="6">
        <v>0</v>
      </c>
      <c r="Q13" s="7" t="s">
        <v>52</v>
      </c>
      <c r="R13" s="7"/>
      <c r="S13" s="7"/>
      <c r="T13" s="7"/>
      <c r="U13" s="7"/>
      <c r="V13" s="7"/>
      <c r="W13" s="10">
        <f>Z13*I13/2000</f>
        <v>0.468</v>
      </c>
      <c r="X13" s="384" t="s">
        <v>51</v>
      </c>
      <c r="Y13" s="383">
        <v>3</v>
      </c>
      <c r="Z13" s="6">
        <v>0.45</v>
      </c>
      <c r="AA13" s="6" t="s">
        <v>388</v>
      </c>
      <c r="AB13" s="378" t="s">
        <v>51</v>
      </c>
      <c r="AC13" s="377"/>
      <c r="AD13" s="6"/>
    </row>
    <row r="14" spans="1:30" ht="12.75">
      <c r="A14" s="453" t="s">
        <v>173</v>
      </c>
      <c r="B14" s="383">
        <v>13687</v>
      </c>
      <c r="C14" s="7" t="s">
        <v>97</v>
      </c>
      <c r="D14" s="6">
        <v>20200102</v>
      </c>
      <c r="E14" s="7" t="s">
        <v>647</v>
      </c>
      <c r="F14" s="6" t="s">
        <v>75</v>
      </c>
      <c r="G14" s="6">
        <v>0</v>
      </c>
      <c r="H14" s="7" t="s">
        <v>207</v>
      </c>
      <c r="I14" s="6">
        <v>50</v>
      </c>
      <c r="J14" s="6" t="s">
        <v>120</v>
      </c>
      <c r="K14" s="6">
        <v>250</v>
      </c>
      <c r="L14" s="384" t="s">
        <v>661</v>
      </c>
      <c r="M14" s="383">
        <v>140000</v>
      </c>
      <c r="N14" s="6" t="s">
        <v>656</v>
      </c>
      <c r="O14" s="6">
        <v>0.1</v>
      </c>
      <c r="P14" s="6">
        <v>0</v>
      </c>
      <c r="Q14" s="7" t="s">
        <v>52</v>
      </c>
      <c r="R14" s="7"/>
      <c r="S14" s="7"/>
      <c r="T14" s="7"/>
      <c r="U14" s="7"/>
      <c r="V14" s="7"/>
      <c r="W14" s="10">
        <f>Z14*K14*I14/2000</f>
        <v>0.013125</v>
      </c>
      <c r="X14" s="384" t="s">
        <v>51</v>
      </c>
      <c r="Y14" s="383">
        <v>3</v>
      </c>
      <c r="Z14" s="6">
        <v>0.0021</v>
      </c>
      <c r="AA14" s="6" t="s">
        <v>662</v>
      </c>
      <c r="AB14" s="378" t="s">
        <v>648</v>
      </c>
      <c r="AC14" s="377"/>
      <c r="AD14" s="6"/>
    </row>
    <row r="15" spans="1:30" ht="13.5" thickBot="1">
      <c r="A15" s="454" t="s">
        <v>173</v>
      </c>
      <c r="B15" s="385">
        <v>13688</v>
      </c>
      <c r="C15" s="380" t="s">
        <v>649</v>
      </c>
      <c r="D15" s="379">
        <v>20200102</v>
      </c>
      <c r="E15" s="380" t="s">
        <v>650</v>
      </c>
      <c r="F15" s="379" t="s">
        <v>75</v>
      </c>
      <c r="G15" s="379">
        <v>0</v>
      </c>
      <c r="H15" s="380" t="s">
        <v>207</v>
      </c>
      <c r="I15" s="379">
        <v>1030</v>
      </c>
      <c r="J15" s="379" t="s">
        <v>120</v>
      </c>
      <c r="K15" s="379">
        <v>250</v>
      </c>
      <c r="L15" s="386" t="s">
        <v>661</v>
      </c>
      <c r="M15" s="385">
        <v>140000</v>
      </c>
      <c r="N15" s="379" t="s">
        <v>656</v>
      </c>
      <c r="O15" s="379">
        <v>0.1</v>
      </c>
      <c r="P15" s="379">
        <v>0</v>
      </c>
      <c r="Q15" s="380" t="s">
        <v>52</v>
      </c>
      <c r="R15" s="380"/>
      <c r="S15" s="380"/>
      <c r="T15" s="380"/>
      <c r="U15" s="380"/>
      <c r="V15" s="380"/>
      <c r="W15" s="381">
        <f>Z15*I15*K15/2000</f>
        <v>0.270375</v>
      </c>
      <c r="X15" s="386" t="s">
        <v>51</v>
      </c>
      <c r="Y15" s="385">
        <v>3</v>
      </c>
      <c r="Z15" s="379">
        <v>0.0021</v>
      </c>
      <c r="AA15" s="379" t="s">
        <v>662</v>
      </c>
      <c r="AB15" s="382" t="s">
        <v>651</v>
      </c>
      <c r="AC15" s="377"/>
      <c r="AD15" s="6"/>
    </row>
    <row r="16" spans="22:23" ht="13.5" thickBot="1">
      <c r="V16" s="445" t="s">
        <v>79</v>
      </c>
      <c r="W16" s="446">
        <f>SUM(W9:W15)</f>
        <v>4918.048133738</v>
      </c>
    </row>
    <row r="17" ht="13.5" thickTop="1">
      <c r="C17" s="14" t="s">
        <v>653</v>
      </c>
    </row>
    <row r="19" ht="12.75">
      <c r="C19">
        <v>3974</v>
      </c>
    </row>
    <row r="20" ht="12.75">
      <c r="D20" t="s">
        <v>654</v>
      </c>
    </row>
    <row r="21" ht="12.75">
      <c r="C21">
        <v>3976</v>
      </c>
    </row>
    <row r="22" ht="12.75">
      <c r="D22" t="s">
        <v>655</v>
      </c>
    </row>
    <row r="23" ht="12.75">
      <c r="C23">
        <v>8910</v>
      </c>
    </row>
    <row r="24" ht="12.75">
      <c r="D24" t="s">
        <v>658</v>
      </c>
    </row>
    <row r="25" ht="12.75">
      <c r="C25">
        <v>8911</v>
      </c>
    </row>
    <row r="26" ht="12.75">
      <c r="D26" t="s">
        <v>659</v>
      </c>
    </row>
    <row r="27" ht="12.75">
      <c r="C27">
        <v>9138</v>
      </c>
    </row>
    <row r="28" ht="12.75">
      <c r="D28" t="s">
        <v>660</v>
      </c>
    </row>
    <row r="29" ht="12.75">
      <c r="C29">
        <v>13687</v>
      </c>
    </row>
    <row r="30" ht="12.75">
      <c r="D30" t="s">
        <v>663</v>
      </c>
    </row>
    <row r="31" ht="12.75">
      <c r="C31">
        <v>13688</v>
      </c>
    </row>
    <row r="32" ht="12.75">
      <c r="D32" t="s">
        <v>664</v>
      </c>
    </row>
    <row r="34" ht="12.75">
      <c r="C34" t="s">
        <v>665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7:T8"/>
    <mergeCell ref="AB6:AB8"/>
    <mergeCell ref="X6:X8"/>
    <mergeCell ref="Y6:Y8"/>
    <mergeCell ref="Z6:Z8"/>
    <mergeCell ref="AA6:AA8"/>
    <mergeCell ref="T6:U6"/>
    <mergeCell ref="V6:V8"/>
    <mergeCell ref="W6:W8"/>
    <mergeCell ref="U7:U8"/>
  </mergeCells>
  <printOptions/>
  <pageMargins left="0.45" right="0.28" top="1.65" bottom="1" header="0.5" footer="0.5"/>
  <pageSetup horizontalDpi="600" verticalDpi="600" orientation="landscape" r:id="rId1"/>
  <headerFooter alignWithMargins="0">
    <oddHeader>&amp;L
PacifiCorp
Site Name:  Carbon Power Plant
Site ID:  10081&amp;C&amp;"Arial,Bold"Regional Haze
&amp;"Arial,Regular"1996 Statewide SOx Sources</oddHeader>
    <oddFooter>&amp;R&amp;D
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N3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6.140625" style="0" customWidth="1"/>
    <col min="3" max="3" width="7.00390625" style="0" customWidth="1"/>
    <col min="4" max="4" width="9.7109375" style="0" customWidth="1"/>
    <col min="5" max="5" width="38.28125" style="0" customWidth="1"/>
    <col min="6" max="6" width="5.7109375" style="0" customWidth="1"/>
    <col min="7" max="7" width="10.57421875" style="0" customWidth="1"/>
    <col min="8" max="8" width="15.421875" style="0" customWidth="1"/>
    <col min="9" max="9" width="8.421875" style="0" customWidth="1"/>
    <col min="10" max="10" width="12.57421875" style="0" customWidth="1"/>
    <col min="11" max="11" width="7.28125" style="0" customWidth="1"/>
    <col min="12" max="12" width="8.7109375" style="0" customWidth="1"/>
    <col min="13" max="13" width="8.421875" style="0" customWidth="1"/>
    <col min="15" max="15" width="7.00390625" style="0" customWidth="1"/>
    <col min="16" max="16" width="5.8515625" style="0" customWidth="1"/>
    <col min="18" max="18" width="10.7109375" style="0" customWidth="1"/>
    <col min="20" max="20" width="13.28125" style="0" customWidth="1"/>
    <col min="22" max="22" width="9.7109375" style="0" customWidth="1"/>
    <col min="23" max="23" width="10.57421875" style="0" customWidth="1"/>
    <col min="24" max="24" width="11.7109375" style="0" customWidth="1"/>
    <col min="25" max="25" width="8.421875" style="0" customWidth="1"/>
    <col min="27" max="27" width="12.421875" style="0" customWidth="1"/>
    <col min="28" max="28" width="19.7109375" style="0" customWidth="1"/>
  </cols>
  <sheetData>
    <row r="1" spans="1:5" ht="15.75">
      <c r="A1" s="14" t="s">
        <v>1</v>
      </c>
      <c r="B1" s="14"/>
      <c r="C1" s="52" t="s">
        <v>639</v>
      </c>
      <c r="E1" s="4" t="s">
        <v>44</v>
      </c>
    </row>
    <row r="2" spans="1:5" ht="15">
      <c r="A2" s="14"/>
      <c r="B2" s="14"/>
      <c r="E2" s="5" t="s">
        <v>666</v>
      </c>
    </row>
    <row r="3" spans="1:3" ht="12.75">
      <c r="A3" s="14" t="s">
        <v>13</v>
      </c>
      <c r="B3" s="14" t="s">
        <v>14</v>
      </c>
      <c r="C3" s="52" t="s">
        <v>502</v>
      </c>
    </row>
    <row r="4" spans="1:2" ht="12.75">
      <c r="A4" s="51">
        <v>10238</v>
      </c>
      <c r="B4" s="14"/>
    </row>
    <row r="5" ht="13.5" thickBot="1"/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82" t="s">
        <v>286</v>
      </c>
      <c r="X6" s="503" t="s">
        <v>34</v>
      </c>
      <c r="Y6" s="503" t="s">
        <v>36</v>
      </c>
      <c r="Z6" s="573" t="s">
        <v>37</v>
      </c>
      <c r="AA6" s="515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816</v>
      </c>
      <c r="S7" s="528" t="s">
        <v>33</v>
      </c>
      <c r="T7" s="528" t="s">
        <v>773</v>
      </c>
      <c r="U7" s="528" t="s">
        <v>33</v>
      </c>
      <c r="V7" s="528"/>
      <c r="W7" s="583"/>
      <c r="X7" s="528"/>
      <c r="Y7" s="528"/>
      <c r="Z7" s="574"/>
      <c r="AA7" s="601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82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588"/>
      <c r="X8" s="490"/>
      <c r="Y8" s="490"/>
      <c r="Z8" s="587"/>
      <c r="AA8" s="615"/>
      <c r="AB8" s="58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28" ht="12.75">
      <c r="A9" s="390" t="s">
        <v>48</v>
      </c>
      <c r="B9" s="391">
        <v>4032</v>
      </c>
      <c r="C9" s="392" t="s">
        <v>49</v>
      </c>
      <c r="D9" s="391">
        <v>10100212</v>
      </c>
      <c r="E9" s="392" t="s">
        <v>667</v>
      </c>
      <c r="F9" s="391" t="s">
        <v>76</v>
      </c>
      <c r="G9" s="391">
        <v>1284</v>
      </c>
      <c r="H9" s="392" t="s">
        <v>100</v>
      </c>
      <c r="I9" s="391">
        <v>1456376</v>
      </c>
      <c r="J9" s="391" t="s">
        <v>680</v>
      </c>
      <c r="K9" s="391">
        <v>171.2</v>
      </c>
      <c r="L9" s="402" t="s">
        <v>599</v>
      </c>
      <c r="M9" s="405">
        <v>11554</v>
      </c>
      <c r="N9" s="391" t="s">
        <v>681</v>
      </c>
      <c r="O9" s="391">
        <v>0.42</v>
      </c>
      <c r="P9" s="391">
        <v>11.82</v>
      </c>
      <c r="Q9" s="392" t="s">
        <v>52</v>
      </c>
      <c r="R9" s="392" t="s">
        <v>461</v>
      </c>
      <c r="S9" s="392">
        <v>10</v>
      </c>
      <c r="T9" s="392"/>
      <c r="U9" s="392"/>
      <c r="V9" s="392">
        <v>80</v>
      </c>
      <c r="W9" s="393">
        <f>(Z9*M9*I9*2000)/1000000/2000</f>
        <v>2137.024974608</v>
      </c>
      <c r="X9" s="391">
        <v>0</v>
      </c>
      <c r="Y9" s="391">
        <v>10</v>
      </c>
      <c r="Z9" s="402">
        <v>0.127</v>
      </c>
      <c r="AA9" s="405" t="s">
        <v>603</v>
      </c>
      <c r="AB9" s="394" t="s">
        <v>642</v>
      </c>
    </row>
    <row r="10" spans="1:28" ht="12.75">
      <c r="A10" s="395" t="s">
        <v>48</v>
      </c>
      <c r="B10" s="388">
        <v>4033</v>
      </c>
      <c r="C10" s="387" t="s">
        <v>55</v>
      </c>
      <c r="D10" s="388">
        <v>10100501</v>
      </c>
      <c r="E10" s="387" t="s">
        <v>667</v>
      </c>
      <c r="F10" s="388" t="s">
        <v>76</v>
      </c>
      <c r="G10" s="388">
        <v>1284</v>
      </c>
      <c r="H10" s="387" t="s">
        <v>207</v>
      </c>
      <c r="I10" s="388">
        <v>265.24</v>
      </c>
      <c r="J10" s="388" t="s">
        <v>610</v>
      </c>
      <c r="K10" s="388"/>
      <c r="L10" s="403"/>
      <c r="M10" s="406">
        <v>140000</v>
      </c>
      <c r="N10" s="388" t="s">
        <v>84</v>
      </c>
      <c r="O10" s="388">
        <v>0.1</v>
      </c>
      <c r="P10" s="388" t="s">
        <v>51</v>
      </c>
      <c r="Q10" s="387" t="s">
        <v>52</v>
      </c>
      <c r="R10" s="387"/>
      <c r="S10" s="387"/>
      <c r="T10" s="387"/>
      <c r="U10" s="387"/>
      <c r="V10" s="387"/>
      <c r="W10" s="389">
        <f>Z10*I10/2000</f>
        <v>1.85668</v>
      </c>
      <c r="X10" s="388">
        <v>0</v>
      </c>
      <c r="Y10" s="388">
        <v>3</v>
      </c>
      <c r="Z10" s="403">
        <v>14</v>
      </c>
      <c r="AA10" s="406" t="s">
        <v>455</v>
      </c>
      <c r="AB10" s="396" t="s">
        <v>692</v>
      </c>
    </row>
    <row r="11" spans="1:28" ht="12.75">
      <c r="A11" s="395" t="s">
        <v>48</v>
      </c>
      <c r="B11" s="388">
        <v>4034</v>
      </c>
      <c r="C11" s="387" t="s">
        <v>48</v>
      </c>
      <c r="D11" s="388">
        <v>10100212</v>
      </c>
      <c r="E11" s="387" t="s">
        <v>667</v>
      </c>
      <c r="F11" s="388" t="s">
        <v>75</v>
      </c>
      <c r="G11" s="388">
        <v>1285</v>
      </c>
      <c r="H11" s="387" t="s">
        <v>100</v>
      </c>
      <c r="I11" s="388">
        <v>1448305</v>
      </c>
      <c r="J11" s="388" t="s">
        <v>680</v>
      </c>
      <c r="K11" s="388">
        <v>171.2</v>
      </c>
      <c r="L11" s="403" t="s">
        <v>599</v>
      </c>
      <c r="M11" s="406">
        <v>11513</v>
      </c>
      <c r="N11" s="388" t="s">
        <v>681</v>
      </c>
      <c r="O11" s="388">
        <v>0.41</v>
      </c>
      <c r="P11" s="388">
        <v>12.32</v>
      </c>
      <c r="Q11" s="387" t="s">
        <v>52</v>
      </c>
      <c r="R11" s="387" t="s">
        <v>461</v>
      </c>
      <c r="S11" s="387">
        <v>10</v>
      </c>
      <c r="T11" s="387"/>
      <c r="U11" s="387"/>
      <c r="V11" s="387"/>
      <c r="W11" s="389">
        <f>Z11*I11*M11*2000/1000000/2000</f>
        <v>10488.157007485</v>
      </c>
      <c r="X11" s="388">
        <v>0</v>
      </c>
      <c r="Y11" s="388">
        <v>10</v>
      </c>
      <c r="Z11" s="403">
        <v>0.629</v>
      </c>
      <c r="AA11" s="406" t="s">
        <v>603</v>
      </c>
      <c r="AB11" s="396" t="s">
        <v>642</v>
      </c>
    </row>
    <row r="12" spans="1:28" ht="12.75">
      <c r="A12" s="395" t="s">
        <v>48</v>
      </c>
      <c r="B12" s="388">
        <v>4035</v>
      </c>
      <c r="C12" s="387" t="s">
        <v>61</v>
      </c>
      <c r="D12" s="388">
        <v>10100501</v>
      </c>
      <c r="E12" s="387" t="s">
        <v>667</v>
      </c>
      <c r="F12" s="388" t="s">
        <v>75</v>
      </c>
      <c r="G12" s="388">
        <v>1285</v>
      </c>
      <c r="H12" s="387" t="s">
        <v>207</v>
      </c>
      <c r="I12" s="388">
        <v>265.24</v>
      </c>
      <c r="J12" s="388" t="s">
        <v>610</v>
      </c>
      <c r="K12" s="388"/>
      <c r="L12" s="403"/>
      <c r="M12" s="406">
        <v>140000</v>
      </c>
      <c r="N12" s="388" t="s">
        <v>84</v>
      </c>
      <c r="O12" s="388">
        <v>0.1</v>
      </c>
      <c r="P12" s="388" t="s">
        <v>51</v>
      </c>
      <c r="Q12" s="387" t="s">
        <v>52</v>
      </c>
      <c r="R12" s="387"/>
      <c r="S12" s="387"/>
      <c r="T12" s="387"/>
      <c r="U12" s="387"/>
      <c r="V12" s="387"/>
      <c r="W12" s="389">
        <f>Z12*I12/2000</f>
        <v>1.85668</v>
      </c>
      <c r="X12" s="388">
        <v>0</v>
      </c>
      <c r="Y12" s="388">
        <v>3</v>
      </c>
      <c r="Z12" s="403">
        <v>14</v>
      </c>
      <c r="AA12" s="406" t="s">
        <v>455</v>
      </c>
      <c r="AB12" s="396" t="s">
        <v>692</v>
      </c>
    </row>
    <row r="13" spans="1:28" ht="12.75">
      <c r="A13" s="395" t="s">
        <v>97</v>
      </c>
      <c r="B13" s="388">
        <v>9309</v>
      </c>
      <c r="C13" s="387" t="s">
        <v>645</v>
      </c>
      <c r="D13" s="388">
        <v>30501039</v>
      </c>
      <c r="E13" s="387" t="s">
        <v>685</v>
      </c>
      <c r="F13" s="388" t="s">
        <v>75</v>
      </c>
      <c r="G13" s="388">
        <v>0</v>
      </c>
      <c r="H13" s="387" t="s">
        <v>207</v>
      </c>
      <c r="I13" s="388">
        <v>2080</v>
      </c>
      <c r="J13" s="388" t="s">
        <v>460</v>
      </c>
      <c r="K13" s="388"/>
      <c r="L13" s="403"/>
      <c r="M13" s="406">
        <v>0</v>
      </c>
      <c r="N13" s="388">
        <v>0</v>
      </c>
      <c r="O13" s="388">
        <v>0</v>
      </c>
      <c r="P13" s="388">
        <v>0</v>
      </c>
      <c r="Q13" s="387" t="s">
        <v>52</v>
      </c>
      <c r="R13" s="387"/>
      <c r="S13" s="387"/>
      <c r="T13" s="387"/>
      <c r="U13" s="387"/>
      <c r="V13" s="387"/>
      <c r="W13" s="389">
        <f>Z13*I13/2000</f>
        <v>0.468</v>
      </c>
      <c r="X13" s="388" t="s">
        <v>51</v>
      </c>
      <c r="Y13" s="388">
        <v>3</v>
      </c>
      <c r="Z13" s="403">
        <v>0.45</v>
      </c>
      <c r="AA13" s="406" t="s">
        <v>686</v>
      </c>
      <c r="AB13" s="396" t="s">
        <v>669</v>
      </c>
    </row>
    <row r="14" spans="1:28" ht="12.75">
      <c r="A14" s="395" t="s">
        <v>48</v>
      </c>
      <c r="B14" s="388">
        <v>13720</v>
      </c>
      <c r="C14" s="387" t="s">
        <v>670</v>
      </c>
      <c r="D14" s="388">
        <v>10200501</v>
      </c>
      <c r="E14" s="387" t="s">
        <v>671</v>
      </c>
      <c r="F14" s="388" t="s">
        <v>75</v>
      </c>
      <c r="G14" s="388">
        <v>3723</v>
      </c>
      <c r="H14" s="387" t="s">
        <v>672</v>
      </c>
      <c r="I14" s="388">
        <v>14.784</v>
      </c>
      <c r="J14" s="388" t="s">
        <v>610</v>
      </c>
      <c r="K14" s="388">
        <v>840</v>
      </c>
      <c r="L14" s="403" t="s">
        <v>688</v>
      </c>
      <c r="M14" s="406">
        <v>140000</v>
      </c>
      <c r="N14" s="388" t="s">
        <v>84</v>
      </c>
      <c r="O14" s="388">
        <v>0.1</v>
      </c>
      <c r="P14" s="388">
        <v>0</v>
      </c>
      <c r="Q14" s="387" t="s">
        <v>52</v>
      </c>
      <c r="R14" s="387"/>
      <c r="S14" s="387"/>
      <c r="T14" s="387"/>
      <c r="U14" s="387"/>
      <c r="V14" s="387"/>
      <c r="W14" s="389">
        <f>Z14*I14/2000</f>
        <v>0.103488</v>
      </c>
      <c r="X14" s="388">
        <v>0</v>
      </c>
      <c r="Y14" s="388">
        <v>3</v>
      </c>
      <c r="Z14" s="403">
        <v>14</v>
      </c>
      <c r="AA14" s="406" t="s">
        <v>455</v>
      </c>
      <c r="AB14" s="396" t="s">
        <v>692</v>
      </c>
    </row>
    <row r="15" spans="1:28" ht="12.75">
      <c r="A15" s="395" t="s">
        <v>48</v>
      </c>
      <c r="B15" s="388">
        <v>13721</v>
      </c>
      <c r="C15" s="387" t="s">
        <v>673</v>
      </c>
      <c r="D15" s="388">
        <v>10200501</v>
      </c>
      <c r="E15" s="387" t="s">
        <v>674</v>
      </c>
      <c r="F15" s="388" t="s">
        <v>75</v>
      </c>
      <c r="G15" s="388">
        <v>3724</v>
      </c>
      <c r="H15" s="387" t="s">
        <v>672</v>
      </c>
      <c r="I15" s="388">
        <v>16.9</v>
      </c>
      <c r="J15" s="388" t="s">
        <v>610</v>
      </c>
      <c r="K15" s="388">
        <v>650</v>
      </c>
      <c r="L15" s="403" t="s">
        <v>688</v>
      </c>
      <c r="M15" s="406">
        <v>140000</v>
      </c>
      <c r="N15" s="388" t="s">
        <v>84</v>
      </c>
      <c r="O15" s="388">
        <v>0.1</v>
      </c>
      <c r="P15" s="388">
        <v>0</v>
      </c>
      <c r="Q15" s="387" t="s">
        <v>52</v>
      </c>
      <c r="R15" s="387"/>
      <c r="S15" s="387"/>
      <c r="T15" s="387"/>
      <c r="U15" s="387"/>
      <c r="V15" s="387"/>
      <c r="W15" s="389">
        <f>Z15*I15/2000</f>
        <v>0.11829999999999999</v>
      </c>
      <c r="X15" s="388">
        <v>0</v>
      </c>
      <c r="Y15" s="388">
        <v>3</v>
      </c>
      <c r="Z15" s="403">
        <v>14</v>
      </c>
      <c r="AA15" s="406" t="s">
        <v>455</v>
      </c>
      <c r="AB15" s="396" t="s">
        <v>692</v>
      </c>
    </row>
    <row r="16" spans="1:28" ht="12.75">
      <c r="A16" s="395" t="s">
        <v>173</v>
      </c>
      <c r="B16" s="388">
        <v>13730</v>
      </c>
      <c r="C16" s="387" t="s">
        <v>97</v>
      </c>
      <c r="D16" s="388">
        <v>20200102</v>
      </c>
      <c r="E16" s="387" t="s">
        <v>675</v>
      </c>
      <c r="F16" s="388" t="s">
        <v>75</v>
      </c>
      <c r="G16" s="388">
        <v>0</v>
      </c>
      <c r="H16" s="387" t="s">
        <v>207</v>
      </c>
      <c r="I16" s="388">
        <v>54</v>
      </c>
      <c r="J16" s="388" t="s">
        <v>460</v>
      </c>
      <c r="K16" s="388">
        <v>1155</v>
      </c>
      <c r="L16" s="403" t="s">
        <v>474</v>
      </c>
      <c r="M16" s="406">
        <v>140000</v>
      </c>
      <c r="N16" s="388" t="s">
        <v>84</v>
      </c>
      <c r="O16" s="388">
        <v>0.1</v>
      </c>
      <c r="P16" s="388">
        <v>0</v>
      </c>
      <c r="Q16" s="387" t="s">
        <v>52</v>
      </c>
      <c r="R16" s="387"/>
      <c r="S16" s="387"/>
      <c r="T16" s="387"/>
      <c r="U16" s="387"/>
      <c r="V16" s="387"/>
      <c r="W16" s="389">
        <f>Z16*I16*K16/2000</f>
        <v>0.06392925</v>
      </c>
      <c r="X16" s="388" t="s">
        <v>51</v>
      </c>
      <c r="Y16" s="388">
        <v>3</v>
      </c>
      <c r="Z16" s="403">
        <v>0.00205</v>
      </c>
      <c r="AA16" s="406" t="s">
        <v>662</v>
      </c>
      <c r="AB16" s="396" t="s">
        <v>676</v>
      </c>
    </row>
    <row r="17" spans="1:28" ht="12.75">
      <c r="A17" s="395" t="s">
        <v>173</v>
      </c>
      <c r="B17" s="388">
        <v>13731</v>
      </c>
      <c r="C17" s="387" t="s">
        <v>649</v>
      </c>
      <c r="D17" s="388">
        <v>20200102</v>
      </c>
      <c r="E17" s="387" t="s">
        <v>677</v>
      </c>
      <c r="F17" s="388" t="s">
        <v>75</v>
      </c>
      <c r="G17" s="388">
        <v>0</v>
      </c>
      <c r="H17" s="387" t="s">
        <v>207</v>
      </c>
      <c r="I17" s="388">
        <v>68</v>
      </c>
      <c r="J17" s="388" t="s">
        <v>460</v>
      </c>
      <c r="K17" s="388">
        <v>1155</v>
      </c>
      <c r="L17" s="403" t="s">
        <v>474</v>
      </c>
      <c r="M17" s="406">
        <v>140000</v>
      </c>
      <c r="N17" s="388" t="s">
        <v>84</v>
      </c>
      <c r="O17" s="388">
        <v>0.1</v>
      </c>
      <c r="P17" s="388">
        <v>0</v>
      </c>
      <c r="Q17" s="387" t="s">
        <v>52</v>
      </c>
      <c r="R17" s="387"/>
      <c r="S17" s="387"/>
      <c r="T17" s="387"/>
      <c r="U17" s="387"/>
      <c r="V17" s="387"/>
      <c r="W17" s="389">
        <f>Z17*I17*K17/2000</f>
        <v>0.08050350000000002</v>
      </c>
      <c r="X17" s="388" t="s">
        <v>51</v>
      </c>
      <c r="Y17" s="388">
        <v>3</v>
      </c>
      <c r="Z17" s="403">
        <v>0.00205</v>
      </c>
      <c r="AA17" s="406" t="s">
        <v>662</v>
      </c>
      <c r="AB17" s="396" t="s">
        <v>676</v>
      </c>
    </row>
    <row r="18" spans="1:28" ht="13.5" thickBot="1">
      <c r="A18" s="397" t="s">
        <v>173</v>
      </c>
      <c r="B18" s="398">
        <v>13732</v>
      </c>
      <c r="C18" s="399" t="s">
        <v>678</v>
      </c>
      <c r="D18" s="398">
        <v>20200102</v>
      </c>
      <c r="E18" s="399" t="s">
        <v>679</v>
      </c>
      <c r="F18" s="398" t="s">
        <v>75</v>
      </c>
      <c r="G18" s="398">
        <v>0</v>
      </c>
      <c r="H18" s="399" t="s">
        <v>207</v>
      </c>
      <c r="I18" s="398">
        <v>626</v>
      </c>
      <c r="J18" s="398" t="s">
        <v>460</v>
      </c>
      <c r="K18" s="398">
        <v>250</v>
      </c>
      <c r="L18" s="404" t="s">
        <v>474</v>
      </c>
      <c r="M18" s="407">
        <v>140000</v>
      </c>
      <c r="N18" s="398" t="s">
        <v>84</v>
      </c>
      <c r="O18" s="398">
        <v>0.1</v>
      </c>
      <c r="P18" s="398">
        <v>0</v>
      </c>
      <c r="Q18" s="399" t="s">
        <v>52</v>
      </c>
      <c r="R18" s="399"/>
      <c r="S18" s="399"/>
      <c r="T18" s="399"/>
      <c r="U18" s="399"/>
      <c r="V18" s="399"/>
      <c r="W18" s="400">
        <f>Z18*I18*K18/2000</f>
        <v>0.1604125</v>
      </c>
      <c r="X18" s="398" t="s">
        <v>51</v>
      </c>
      <c r="Y18" s="398">
        <v>3</v>
      </c>
      <c r="Z18" s="404">
        <v>0.00205</v>
      </c>
      <c r="AA18" s="407" t="s">
        <v>662</v>
      </c>
      <c r="AB18" s="401" t="s">
        <v>676</v>
      </c>
    </row>
    <row r="19" spans="22:23" ht="13.5" thickBot="1">
      <c r="V19" s="445" t="s">
        <v>409</v>
      </c>
      <c r="W19" s="446">
        <f>SUM(W9:W18)</f>
        <v>12629.889975343001</v>
      </c>
    </row>
    <row r="20" ht="13.5" thickTop="1">
      <c r="C20" s="14" t="s">
        <v>653</v>
      </c>
    </row>
    <row r="22" spans="3:4" ht="12.75">
      <c r="C22">
        <v>4032</v>
      </c>
      <c r="D22" t="s">
        <v>682</v>
      </c>
    </row>
    <row r="23" spans="3:4" ht="12.75">
      <c r="C23">
        <v>4033</v>
      </c>
      <c r="D23" t="s">
        <v>689</v>
      </c>
    </row>
    <row r="24" ht="12.75">
      <c r="D24" t="s">
        <v>683</v>
      </c>
    </row>
    <row r="25" spans="3:4" ht="12.75">
      <c r="C25">
        <v>4034</v>
      </c>
      <c r="D25" t="s">
        <v>684</v>
      </c>
    </row>
    <row r="26" spans="3:4" ht="12.75">
      <c r="C26">
        <v>4035</v>
      </c>
      <c r="D26" t="s">
        <v>690</v>
      </c>
    </row>
    <row r="27" spans="3:4" ht="12.75">
      <c r="C27">
        <v>9309</v>
      </c>
      <c r="D27" t="s">
        <v>687</v>
      </c>
    </row>
    <row r="28" spans="3:4" ht="12.75">
      <c r="C28">
        <v>13720</v>
      </c>
      <c r="D28" t="s">
        <v>691</v>
      </c>
    </row>
    <row r="29" spans="3:4" ht="12.75">
      <c r="C29">
        <v>13721</v>
      </c>
      <c r="D29" t="s">
        <v>693</v>
      </c>
    </row>
    <row r="30" ht="12.75">
      <c r="D30" t="s">
        <v>694</v>
      </c>
    </row>
    <row r="31" ht="12.75">
      <c r="D31" t="s">
        <v>695</v>
      </c>
    </row>
    <row r="32" spans="3:4" ht="12.75">
      <c r="C32">
        <v>13730</v>
      </c>
      <c r="D32" t="s">
        <v>696</v>
      </c>
    </row>
    <row r="33" spans="3:4" ht="12.75">
      <c r="C33">
        <v>13731</v>
      </c>
      <c r="D33" t="s">
        <v>697</v>
      </c>
    </row>
    <row r="34" spans="3:4" ht="12.75">
      <c r="C34">
        <v>13732</v>
      </c>
      <c r="D34" t="s">
        <v>698</v>
      </c>
    </row>
    <row r="35" ht="12.75">
      <c r="C35" t="s">
        <v>293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6:U6"/>
    <mergeCell ref="V6:V8"/>
    <mergeCell ref="W6:W8"/>
    <mergeCell ref="U7:U8"/>
    <mergeCell ref="T7:T8"/>
    <mergeCell ref="AB6:AB8"/>
    <mergeCell ref="X6:X8"/>
    <mergeCell ref="Y6:Y8"/>
    <mergeCell ref="Z6:Z8"/>
    <mergeCell ref="AA6:AA8"/>
  </mergeCells>
  <printOptions/>
  <pageMargins left="0.18" right="0.16" top="1.58" bottom="1" header="0.5" footer="0.5"/>
  <pageSetup horizontalDpi="600" verticalDpi="600" orientation="landscape" pageOrder="overThenDown" r:id="rId1"/>
  <headerFooter alignWithMargins="0">
    <oddHeader>&amp;L
PacifiCorp
Site Name:  Huntington Power Plant
Site ID:  10238&amp;C&amp;"Arial,Bold"Regional Haze&amp;"Arial,Regular"
1996 Statewide SOx Sources</oddHeader>
    <oddFooter>&amp;R&amp;D
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N37"/>
  <sheetViews>
    <sheetView workbookViewId="0" topLeftCell="A1">
      <selection activeCell="E32" sqref="E32"/>
    </sheetView>
  </sheetViews>
  <sheetFormatPr defaultColWidth="9.140625" defaultRowHeight="12.75"/>
  <cols>
    <col min="1" max="1" width="7.00390625" style="0" customWidth="1"/>
    <col min="2" max="2" width="6.57421875" style="0" customWidth="1"/>
    <col min="3" max="3" width="14.7109375" style="0" customWidth="1"/>
    <col min="4" max="4" width="9.00390625" style="0" customWidth="1"/>
    <col min="5" max="5" width="32.7109375" style="0" customWidth="1"/>
    <col min="6" max="6" width="5.8515625" style="0" customWidth="1"/>
    <col min="7" max="7" width="10.421875" style="0" customWidth="1"/>
    <col min="8" max="8" width="15.140625" style="0" customWidth="1"/>
    <col min="9" max="9" width="8.28125" style="0" customWidth="1"/>
    <col min="10" max="10" width="10.00390625" style="0" customWidth="1"/>
    <col min="11" max="11" width="7.00390625" style="0" customWidth="1"/>
    <col min="12" max="12" width="8.00390625" style="0" customWidth="1"/>
    <col min="13" max="13" width="8.421875" style="0" customWidth="1"/>
    <col min="14" max="15" width="6.8515625" style="0" customWidth="1"/>
    <col min="16" max="16" width="5.28125" style="0" customWidth="1"/>
    <col min="18" max="18" width="12.140625" style="0" customWidth="1"/>
    <col min="19" max="19" width="9.28125" style="0" customWidth="1"/>
    <col min="20" max="20" width="11.8515625" style="0" customWidth="1"/>
    <col min="22" max="22" width="9.8515625" style="0" customWidth="1"/>
    <col min="23" max="23" width="11.7109375" style="23" customWidth="1"/>
    <col min="24" max="24" width="11.00390625" style="0" customWidth="1"/>
    <col min="25" max="25" width="8.421875" style="0" customWidth="1"/>
    <col min="27" max="27" width="11.8515625" style="0" customWidth="1"/>
    <col min="28" max="28" width="16.57421875" style="0" customWidth="1"/>
  </cols>
  <sheetData>
    <row r="1" spans="1:5" ht="15.75">
      <c r="A1" s="14" t="s">
        <v>1</v>
      </c>
      <c r="B1" s="14"/>
      <c r="C1" s="21" t="s">
        <v>639</v>
      </c>
      <c r="E1" s="4" t="s">
        <v>44</v>
      </c>
    </row>
    <row r="2" spans="1:5" ht="15">
      <c r="A2" s="14"/>
      <c r="B2" s="14"/>
      <c r="E2" s="5" t="s">
        <v>666</v>
      </c>
    </row>
    <row r="3" spans="1:3" ht="12.75">
      <c r="A3" s="14" t="s">
        <v>13</v>
      </c>
      <c r="B3" s="14" t="s">
        <v>14</v>
      </c>
      <c r="C3" s="21" t="s">
        <v>501</v>
      </c>
    </row>
    <row r="4" spans="1:2" ht="12.75">
      <c r="A4" s="20">
        <v>10237</v>
      </c>
      <c r="B4" s="14"/>
    </row>
    <row r="5" ht="13.5" thickBot="1"/>
    <row r="6" spans="1:66" ht="16.5" customHeight="1">
      <c r="A6" s="605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82" t="s">
        <v>286</v>
      </c>
      <c r="X6" s="503" t="s">
        <v>34</v>
      </c>
      <c r="Y6" s="503" t="s">
        <v>36</v>
      </c>
      <c r="Z6" s="573" t="s">
        <v>37</v>
      </c>
      <c r="AA6" s="515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60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817</v>
      </c>
      <c r="S7" s="528" t="s">
        <v>33</v>
      </c>
      <c r="T7" s="528" t="s">
        <v>773</v>
      </c>
      <c r="U7" s="528" t="s">
        <v>33</v>
      </c>
      <c r="V7" s="528"/>
      <c r="W7" s="583"/>
      <c r="X7" s="528"/>
      <c r="Y7" s="528"/>
      <c r="Z7" s="574"/>
      <c r="AA7" s="601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607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82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588"/>
      <c r="X8" s="490"/>
      <c r="Y8" s="490"/>
      <c r="Z8" s="587"/>
      <c r="AA8" s="615"/>
      <c r="AB8" s="58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28" ht="12.75">
      <c r="A9" s="411" t="s">
        <v>48</v>
      </c>
      <c r="B9" s="297">
        <v>4026</v>
      </c>
      <c r="C9" s="291" t="s">
        <v>49</v>
      </c>
      <c r="D9" s="290">
        <v>10100212</v>
      </c>
      <c r="E9" s="291" t="s">
        <v>699</v>
      </c>
      <c r="F9" s="290" t="s">
        <v>76</v>
      </c>
      <c r="G9" s="290">
        <v>1281</v>
      </c>
      <c r="H9" s="291" t="s">
        <v>100</v>
      </c>
      <c r="I9" s="290">
        <v>1436921</v>
      </c>
      <c r="J9" s="290" t="s">
        <v>680</v>
      </c>
      <c r="K9" s="291">
        <v>170.5</v>
      </c>
      <c r="L9" s="298" t="s">
        <v>716</v>
      </c>
      <c r="M9" s="297">
        <v>11575</v>
      </c>
      <c r="N9" s="290" t="s">
        <v>8</v>
      </c>
      <c r="O9" s="290">
        <v>0.51</v>
      </c>
      <c r="P9" s="290">
        <v>11.99</v>
      </c>
      <c r="Q9" s="291" t="s">
        <v>52</v>
      </c>
      <c r="R9" s="291" t="s">
        <v>717</v>
      </c>
      <c r="S9" s="291">
        <v>10</v>
      </c>
      <c r="T9" s="291"/>
      <c r="U9" s="291"/>
      <c r="V9" s="291">
        <v>80</v>
      </c>
      <c r="W9" s="409">
        <f>Z9*(I9*2000)*(M9/1000000)/2000</f>
        <v>2661.177692</v>
      </c>
      <c r="X9" s="290">
        <v>0</v>
      </c>
      <c r="Y9" s="290">
        <v>10</v>
      </c>
      <c r="Z9" s="298">
        <v>0.16</v>
      </c>
      <c r="AA9" s="297" t="s">
        <v>652</v>
      </c>
      <c r="AB9" s="293" t="s">
        <v>642</v>
      </c>
    </row>
    <row r="10" spans="1:28" ht="12.75">
      <c r="A10" s="412" t="s">
        <v>48</v>
      </c>
      <c r="B10" s="118">
        <v>4027</v>
      </c>
      <c r="C10" s="106" t="s">
        <v>61</v>
      </c>
      <c r="D10" s="107">
        <v>10100501</v>
      </c>
      <c r="E10" s="106" t="s">
        <v>700</v>
      </c>
      <c r="F10" s="107" t="s">
        <v>76</v>
      </c>
      <c r="G10" s="107">
        <v>1281</v>
      </c>
      <c r="H10" s="106" t="s">
        <v>207</v>
      </c>
      <c r="I10" s="107">
        <v>117886</v>
      </c>
      <c r="J10" s="107" t="s">
        <v>465</v>
      </c>
      <c r="K10" s="106" t="s">
        <v>51</v>
      </c>
      <c r="L10" s="299" t="s">
        <v>51</v>
      </c>
      <c r="M10" s="118">
        <v>140000</v>
      </c>
      <c r="N10" s="107" t="s">
        <v>84</v>
      </c>
      <c r="O10" s="107">
        <v>0.1</v>
      </c>
      <c r="P10" s="107" t="s">
        <v>51</v>
      </c>
      <c r="Q10" s="106" t="s">
        <v>52</v>
      </c>
      <c r="R10" s="106"/>
      <c r="S10" s="106"/>
      <c r="T10" s="106"/>
      <c r="U10" s="106"/>
      <c r="V10" s="106"/>
      <c r="W10" s="408">
        <f>Z10*I10/1000/2000</f>
        <v>0.825202</v>
      </c>
      <c r="X10" s="107">
        <v>0</v>
      </c>
      <c r="Y10" s="107">
        <v>3</v>
      </c>
      <c r="Z10" s="299">
        <v>14</v>
      </c>
      <c r="AA10" s="118" t="s">
        <v>657</v>
      </c>
      <c r="AB10" s="111" t="s">
        <v>718</v>
      </c>
    </row>
    <row r="11" spans="1:28" ht="12.75">
      <c r="A11" s="412" t="s">
        <v>48</v>
      </c>
      <c r="B11" s="118">
        <v>4028</v>
      </c>
      <c r="C11" s="106" t="s">
        <v>48</v>
      </c>
      <c r="D11" s="107">
        <v>10100212</v>
      </c>
      <c r="E11" s="106" t="s">
        <v>699</v>
      </c>
      <c r="F11" s="107" t="s">
        <v>76</v>
      </c>
      <c r="G11" s="107">
        <v>1282</v>
      </c>
      <c r="H11" s="106" t="s">
        <v>100</v>
      </c>
      <c r="I11" s="107">
        <v>1369851</v>
      </c>
      <c r="J11" s="107" t="s">
        <v>680</v>
      </c>
      <c r="K11" s="106">
        <v>170.5</v>
      </c>
      <c r="L11" s="299" t="s">
        <v>51</v>
      </c>
      <c r="M11" s="118">
        <v>11464</v>
      </c>
      <c r="N11" s="107" t="s">
        <v>8</v>
      </c>
      <c r="O11" s="107">
        <v>0.51</v>
      </c>
      <c r="P11" s="107">
        <v>12.18</v>
      </c>
      <c r="Q11" s="106" t="s">
        <v>52</v>
      </c>
      <c r="R11" s="106" t="s">
        <v>717</v>
      </c>
      <c r="S11" s="106">
        <v>10</v>
      </c>
      <c r="T11" s="106"/>
      <c r="U11" s="106"/>
      <c r="V11" s="106">
        <v>80</v>
      </c>
      <c r="W11" s="408">
        <f>Z11*I11*2000*M11/1000000/2000</f>
        <v>2512.6354982400003</v>
      </c>
      <c r="X11" s="107">
        <v>0</v>
      </c>
      <c r="Y11" s="107">
        <v>10</v>
      </c>
      <c r="Z11" s="299">
        <v>0.16</v>
      </c>
      <c r="AA11" s="118" t="s">
        <v>652</v>
      </c>
      <c r="AB11" s="111" t="s">
        <v>642</v>
      </c>
    </row>
    <row r="12" spans="1:28" ht="12.75">
      <c r="A12" s="412" t="s">
        <v>48</v>
      </c>
      <c r="B12" s="118">
        <v>4029</v>
      </c>
      <c r="C12" s="106" t="s">
        <v>63</v>
      </c>
      <c r="D12" s="107">
        <v>10100501</v>
      </c>
      <c r="E12" s="106" t="s">
        <v>700</v>
      </c>
      <c r="F12" s="107" t="s">
        <v>76</v>
      </c>
      <c r="G12" s="107">
        <v>1282</v>
      </c>
      <c r="H12" s="106" t="s">
        <v>207</v>
      </c>
      <c r="I12" s="107">
        <v>92280</v>
      </c>
      <c r="J12" s="107" t="s">
        <v>465</v>
      </c>
      <c r="K12" s="106" t="s">
        <v>51</v>
      </c>
      <c r="L12" s="299" t="s">
        <v>51</v>
      </c>
      <c r="M12" s="118">
        <v>140000</v>
      </c>
      <c r="N12" s="107" t="s">
        <v>84</v>
      </c>
      <c r="O12" s="107">
        <v>0.1</v>
      </c>
      <c r="P12" s="107" t="s">
        <v>51</v>
      </c>
      <c r="Q12" s="106" t="s">
        <v>52</v>
      </c>
      <c r="R12" s="106"/>
      <c r="S12" s="106"/>
      <c r="T12" s="106"/>
      <c r="U12" s="106"/>
      <c r="V12" s="106"/>
      <c r="W12" s="408">
        <f>Z12*I12/1000/2000</f>
        <v>0.6459600000000001</v>
      </c>
      <c r="X12" s="107">
        <v>0</v>
      </c>
      <c r="Y12" s="107">
        <v>3</v>
      </c>
      <c r="Z12" s="299">
        <v>14</v>
      </c>
      <c r="AA12" s="118" t="s">
        <v>657</v>
      </c>
      <c r="AB12" s="111" t="s">
        <v>718</v>
      </c>
    </row>
    <row r="13" spans="1:28" ht="12.75">
      <c r="A13" s="412" t="s">
        <v>48</v>
      </c>
      <c r="B13" s="118">
        <v>4030</v>
      </c>
      <c r="C13" s="106" t="s">
        <v>55</v>
      </c>
      <c r="D13" s="107">
        <v>10100212</v>
      </c>
      <c r="E13" s="106" t="s">
        <v>699</v>
      </c>
      <c r="F13" s="107" t="s">
        <v>76</v>
      </c>
      <c r="G13" s="107">
        <v>1283</v>
      </c>
      <c r="H13" s="106" t="s">
        <v>100</v>
      </c>
      <c r="I13" s="107">
        <v>1382151</v>
      </c>
      <c r="J13" s="107" t="s">
        <v>680</v>
      </c>
      <c r="K13" s="106">
        <v>191</v>
      </c>
      <c r="L13" s="299" t="s">
        <v>716</v>
      </c>
      <c r="M13" s="118">
        <v>11367</v>
      </c>
      <c r="N13" s="107" t="s">
        <v>8</v>
      </c>
      <c r="O13" s="107">
        <v>0.5</v>
      </c>
      <c r="P13" s="107">
        <v>12.92</v>
      </c>
      <c r="Q13" s="106" t="s">
        <v>52</v>
      </c>
      <c r="R13" s="106" t="s">
        <v>717</v>
      </c>
      <c r="S13" s="106">
        <v>10</v>
      </c>
      <c r="T13" s="106"/>
      <c r="U13" s="106"/>
      <c r="V13" s="106">
        <v>90</v>
      </c>
      <c r="W13" s="408">
        <f>Z13*I13*2000*M13/1000000/2000</f>
        <v>1099.76372919</v>
      </c>
      <c r="X13" s="107">
        <v>0</v>
      </c>
      <c r="Y13" s="107">
        <v>10</v>
      </c>
      <c r="Z13" s="299">
        <v>0.07</v>
      </c>
      <c r="AA13" s="118" t="s">
        <v>652</v>
      </c>
      <c r="AB13" s="111" t="s">
        <v>642</v>
      </c>
    </row>
    <row r="14" spans="1:28" ht="12.75">
      <c r="A14" s="412" t="s">
        <v>48</v>
      </c>
      <c r="B14" s="118">
        <v>4031</v>
      </c>
      <c r="C14" s="106" t="s">
        <v>65</v>
      </c>
      <c r="D14" s="107">
        <v>10100501</v>
      </c>
      <c r="E14" s="106" t="s">
        <v>700</v>
      </c>
      <c r="F14" s="107" t="s">
        <v>76</v>
      </c>
      <c r="G14" s="107">
        <v>1283</v>
      </c>
      <c r="H14" s="106" t="s">
        <v>207</v>
      </c>
      <c r="I14" s="107">
        <v>406818</v>
      </c>
      <c r="J14" s="107" t="s">
        <v>465</v>
      </c>
      <c r="K14" s="106" t="s">
        <v>51</v>
      </c>
      <c r="L14" s="299" t="s">
        <v>51</v>
      </c>
      <c r="M14" s="118">
        <v>140000</v>
      </c>
      <c r="N14" s="107" t="s">
        <v>84</v>
      </c>
      <c r="O14" s="107">
        <v>0.1</v>
      </c>
      <c r="P14" s="107" t="s">
        <v>51</v>
      </c>
      <c r="Q14" s="106" t="s">
        <v>52</v>
      </c>
      <c r="R14" s="106"/>
      <c r="S14" s="106"/>
      <c r="T14" s="106"/>
      <c r="U14" s="106"/>
      <c r="V14" s="106"/>
      <c r="W14" s="408">
        <f>Z14*I14/1000/2000</f>
        <v>2.847726</v>
      </c>
      <c r="X14" s="107">
        <v>0</v>
      </c>
      <c r="Y14" s="107">
        <v>3</v>
      </c>
      <c r="Z14" s="299">
        <v>14</v>
      </c>
      <c r="AA14" s="118" t="s">
        <v>657</v>
      </c>
      <c r="AB14" s="111" t="s">
        <v>718</v>
      </c>
    </row>
    <row r="15" spans="1:28" ht="12.75">
      <c r="A15" s="412" t="s">
        <v>97</v>
      </c>
      <c r="B15" s="118">
        <v>9228</v>
      </c>
      <c r="C15" s="106" t="s">
        <v>645</v>
      </c>
      <c r="D15" s="107">
        <v>30501039</v>
      </c>
      <c r="E15" s="106" t="s">
        <v>668</v>
      </c>
      <c r="F15" s="107" t="s">
        <v>75</v>
      </c>
      <c r="G15" s="107">
        <v>0</v>
      </c>
      <c r="H15" s="106" t="s">
        <v>207</v>
      </c>
      <c r="I15" s="107">
        <v>2912</v>
      </c>
      <c r="J15" s="107" t="s">
        <v>120</v>
      </c>
      <c r="K15" s="106" t="s">
        <v>51</v>
      </c>
      <c r="L15" s="299">
        <v>0</v>
      </c>
      <c r="M15" s="118">
        <v>0</v>
      </c>
      <c r="N15" s="107">
        <v>0</v>
      </c>
      <c r="O15" s="107">
        <v>0</v>
      </c>
      <c r="P15" s="107">
        <v>0</v>
      </c>
      <c r="Q15" s="106" t="s">
        <v>52</v>
      </c>
      <c r="R15" s="106"/>
      <c r="S15" s="106"/>
      <c r="T15" s="106"/>
      <c r="U15" s="106"/>
      <c r="V15" s="106"/>
      <c r="W15" s="408">
        <f>Z15*I15/2000</f>
        <v>0.6552</v>
      </c>
      <c r="X15" s="107" t="s">
        <v>51</v>
      </c>
      <c r="Y15" s="107">
        <v>3</v>
      </c>
      <c r="Z15" s="299">
        <v>0.45</v>
      </c>
      <c r="AA15" s="118" t="s">
        <v>468</v>
      </c>
      <c r="AB15" s="111" t="s">
        <v>701</v>
      </c>
    </row>
    <row r="16" spans="1:28" ht="12.75">
      <c r="A16" s="412" t="s">
        <v>48</v>
      </c>
      <c r="B16" s="118">
        <v>13693</v>
      </c>
      <c r="C16" s="106" t="s">
        <v>202</v>
      </c>
      <c r="D16" s="107">
        <v>10200501</v>
      </c>
      <c r="E16" s="106" t="s">
        <v>702</v>
      </c>
      <c r="F16" s="107" t="s">
        <v>75</v>
      </c>
      <c r="G16" s="107">
        <v>3717</v>
      </c>
      <c r="H16" s="106" t="s">
        <v>207</v>
      </c>
      <c r="I16" s="107">
        <v>21840</v>
      </c>
      <c r="J16" s="107" t="s">
        <v>465</v>
      </c>
      <c r="K16" s="106">
        <v>840</v>
      </c>
      <c r="L16" s="299" t="s">
        <v>601</v>
      </c>
      <c r="M16" s="118">
        <v>140000</v>
      </c>
      <c r="N16" s="107" t="s">
        <v>84</v>
      </c>
      <c r="O16" s="107">
        <v>0.1</v>
      </c>
      <c r="P16" s="107">
        <v>0</v>
      </c>
      <c r="Q16" s="106" t="s">
        <v>52</v>
      </c>
      <c r="R16" s="106"/>
      <c r="S16" s="106"/>
      <c r="T16" s="106"/>
      <c r="U16" s="106"/>
      <c r="V16" s="106"/>
      <c r="W16" s="408">
        <f>Z16*I16/1000/2000</f>
        <v>0.15288</v>
      </c>
      <c r="X16" s="107">
        <v>0</v>
      </c>
      <c r="Y16" s="107">
        <v>3</v>
      </c>
      <c r="Z16" s="299">
        <v>14</v>
      </c>
      <c r="AA16" s="118" t="s">
        <v>657</v>
      </c>
      <c r="AB16" s="111" t="s">
        <v>718</v>
      </c>
    </row>
    <row r="17" spans="1:28" ht="12.75">
      <c r="A17" s="412" t="s">
        <v>173</v>
      </c>
      <c r="B17" s="118">
        <v>13704</v>
      </c>
      <c r="C17" s="106" t="s">
        <v>670</v>
      </c>
      <c r="D17" s="107">
        <v>20200102</v>
      </c>
      <c r="E17" s="106" t="s">
        <v>703</v>
      </c>
      <c r="F17" s="107" t="s">
        <v>75</v>
      </c>
      <c r="G17" s="107">
        <v>0</v>
      </c>
      <c r="H17" s="106" t="s">
        <v>207</v>
      </c>
      <c r="I17" s="107">
        <v>26</v>
      </c>
      <c r="J17" s="107" t="s">
        <v>120</v>
      </c>
      <c r="K17" s="106">
        <v>1070</v>
      </c>
      <c r="L17" s="299" t="s">
        <v>474</v>
      </c>
      <c r="M17" s="118">
        <v>140000</v>
      </c>
      <c r="N17" s="107" t="s">
        <v>84</v>
      </c>
      <c r="O17" s="107">
        <v>0.1</v>
      </c>
      <c r="P17" s="107">
        <v>0</v>
      </c>
      <c r="Q17" s="106" t="s">
        <v>52</v>
      </c>
      <c r="R17" s="106"/>
      <c r="S17" s="106"/>
      <c r="T17" s="106"/>
      <c r="U17" s="106"/>
      <c r="V17" s="106"/>
      <c r="W17" s="408">
        <f>Z17*I17*K17/2000</f>
        <v>0.028515500000000003</v>
      </c>
      <c r="X17" s="107" t="s">
        <v>51</v>
      </c>
      <c r="Y17" s="107">
        <v>3</v>
      </c>
      <c r="Z17" s="299">
        <v>0.00205</v>
      </c>
      <c r="AA17" s="118" t="s">
        <v>662</v>
      </c>
      <c r="AB17" s="111" t="s">
        <v>704</v>
      </c>
    </row>
    <row r="18" spans="1:28" ht="12.75">
      <c r="A18" s="412" t="s">
        <v>173</v>
      </c>
      <c r="B18" s="118">
        <v>13705</v>
      </c>
      <c r="C18" s="106" t="s">
        <v>673</v>
      </c>
      <c r="D18" s="107">
        <v>20200102</v>
      </c>
      <c r="E18" s="106" t="s">
        <v>705</v>
      </c>
      <c r="F18" s="107" t="s">
        <v>75</v>
      </c>
      <c r="G18" s="107">
        <v>0</v>
      </c>
      <c r="H18" s="106" t="s">
        <v>207</v>
      </c>
      <c r="I18" s="107">
        <v>26</v>
      </c>
      <c r="J18" s="107" t="s">
        <v>120</v>
      </c>
      <c r="K18" s="106">
        <v>1070</v>
      </c>
      <c r="L18" s="299" t="s">
        <v>474</v>
      </c>
      <c r="M18" s="118">
        <v>140000</v>
      </c>
      <c r="N18" s="107" t="s">
        <v>84</v>
      </c>
      <c r="O18" s="107">
        <v>0.1</v>
      </c>
      <c r="P18" s="107">
        <v>0</v>
      </c>
      <c r="Q18" s="106" t="s">
        <v>52</v>
      </c>
      <c r="R18" s="106"/>
      <c r="S18" s="106"/>
      <c r="T18" s="106"/>
      <c r="U18" s="106"/>
      <c r="V18" s="106"/>
      <c r="W18" s="408">
        <f>Z18*I18*K18/2000</f>
        <v>0.028515500000000003</v>
      </c>
      <c r="X18" s="107" t="s">
        <v>51</v>
      </c>
      <c r="Y18" s="107">
        <v>3</v>
      </c>
      <c r="Z18" s="299">
        <v>0.00205</v>
      </c>
      <c r="AA18" s="118" t="s">
        <v>468</v>
      </c>
      <c r="AB18" s="111" t="s">
        <v>704</v>
      </c>
    </row>
    <row r="19" spans="1:28" ht="12.75">
      <c r="A19" s="412" t="s">
        <v>173</v>
      </c>
      <c r="B19" s="118">
        <v>13707</v>
      </c>
      <c r="C19" s="106" t="s">
        <v>706</v>
      </c>
      <c r="D19" s="107">
        <v>20200102</v>
      </c>
      <c r="E19" s="106" t="s">
        <v>707</v>
      </c>
      <c r="F19" s="107" t="s">
        <v>75</v>
      </c>
      <c r="G19" s="107">
        <v>0</v>
      </c>
      <c r="H19" s="106" t="s">
        <v>207</v>
      </c>
      <c r="I19" s="107">
        <v>26</v>
      </c>
      <c r="J19" s="107" t="s">
        <v>120</v>
      </c>
      <c r="K19" s="106">
        <v>915</v>
      </c>
      <c r="L19" s="299" t="s">
        <v>474</v>
      </c>
      <c r="M19" s="118">
        <v>140000</v>
      </c>
      <c r="N19" s="107" t="s">
        <v>84</v>
      </c>
      <c r="O19" s="107">
        <v>0.1</v>
      </c>
      <c r="P19" s="107">
        <v>0</v>
      </c>
      <c r="Q19" s="106" t="s">
        <v>52</v>
      </c>
      <c r="R19" s="106"/>
      <c r="S19" s="106"/>
      <c r="T19" s="106"/>
      <c r="U19" s="106"/>
      <c r="V19" s="106"/>
      <c r="W19" s="408">
        <f>Z19*I19*K19/2000</f>
        <v>0.024384750000000004</v>
      </c>
      <c r="X19" s="107" t="s">
        <v>51</v>
      </c>
      <c r="Y19" s="107">
        <v>3</v>
      </c>
      <c r="Z19" s="299">
        <v>0.00205</v>
      </c>
      <c r="AA19" s="118" t="s">
        <v>468</v>
      </c>
      <c r="AB19" s="111" t="s">
        <v>704</v>
      </c>
    </row>
    <row r="20" spans="1:28" ht="13.5" thickBot="1">
      <c r="A20" s="413" t="s">
        <v>173</v>
      </c>
      <c r="B20" s="119">
        <v>13709</v>
      </c>
      <c r="C20" s="112" t="s">
        <v>708</v>
      </c>
      <c r="D20" s="113">
        <v>20200102</v>
      </c>
      <c r="E20" s="112" t="s">
        <v>709</v>
      </c>
      <c r="F20" s="113" t="s">
        <v>75</v>
      </c>
      <c r="G20" s="113">
        <v>0</v>
      </c>
      <c r="H20" s="112" t="s">
        <v>207</v>
      </c>
      <c r="I20" s="113">
        <v>26</v>
      </c>
      <c r="J20" s="113" t="s">
        <v>120</v>
      </c>
      <c r="K20" s="112">
        <v>167</v>
      </c>
      <c r="L20" s="300" t="s">
        <v>474</v>
      </c>
      <c r="M20" s="119">
        <v>140000</v>
      </c>
      <c r="N20" s="113" t="s">
        <v>84</v>
      </c>
      <c r="O20" s="113">
        <v>0.1</v>
      </c>
      <c r="P20" s="113">
        <v>0</v>
      </c>
      <c r="Q20" s="112" t="s">
        <v>52</v>
      </c>
      <c r="R20" s="112"/>
      <c r="S20" s="112"/>
      <c r="T20" s="112"/>
      <c r="U20" s="112"/>
      <c r="V20" s="112"/>
      <c r="W20" s="410">
        <f>Z20*I20*K20/2000</f>
        <v>0.004450550000000001</v>
      </c>
      <c r="X20" s="113" t="s">
        <v>51</v>
      </c>
      <c r="Y20" s="113">
        <v>3</v>
      </c>
      <c r="Z20" s="300">
        <v>0.00205</v>
      </c>
      <c r="AA20" s="119" t="s">
        <v>468</v>
      </c>
      <c r="AB20" s="115" t="s">
        <v>704</v>
      </c>
    </row>
    <row r="21" spans="22:23" ht="13.5" thickBot="1">
      <c r="V21" s="445" t="s">
        <v>79</v>
      </c>
      <c r="W21" s="446">
        <f>SUM(W9:W20)</f>
        <v>6278.78975373</v>
      </c>
    </row>
    <row r="22" ht="13.5" thickTop="1">
      <c r="C22" s="14" t="s">
        <v>653</v>
      </c>
    </row>
    <row r="23" spans="3:4" ht="12.75">
      <c r="C23">
        <v>4026</v>
      </c>
      <c r="D23" t="s">
        <v>724</v>
      </c>
    </row>
    <row r="24" spans="3:4" ht="12.75">
      <c r="C24">
        <v>4027</v>
      </c>
      <c r="D24" t="s">
        <v>719</v>
      </c>
    </row>
    <row r="25" ht="12.75">
      <c r="D25" t="s">
        <v>720</v>
      </c>
    </row>
    <row r="26" spans="3:4" ht="12.75">
      <c r="C26">
        <v>4028</v>
      </c>
      <c r="D26" t="s">
        <v>721</v>
      </c>
    </row>
    <row r="27" spans="3:4" ht="12.75">
      <c r="C27">
        <v>4029</v>
      </c>
      <c r="D27" t="s">
        <v>722</v>
      </c>
    </row>
    <row r="28" ht="12.75">
      <c r="D28" t="s">
        <v>720</v>
      </c>
    </row>
    <row r="29" spans="3:4" ht="12.75">
      <c r="C29">
        <v>4030</v>
      </c>
      <c r="D29" t="s">
        <v>723</v>
      </c>
    </row>
    <row r="30" spans="3:4" ht="12.75">
      <c r="C30">
        <v>4031</v>
      </c>
      <c r="D30" t="s">
        <v>725</v>
      </c>
    </row>
    <row r="31" ht="12.75">
      <c r="D31" t="s">
        <v>726</v>
      </c>
    </row>
    <row r="32" spans="3:4" ht="12.75">
      <c r="C32">
        <v>9228</v>
      </c>
      <c r="D32" t="s">
        <v>728</v>
      </c>
    </row>
    <row r="33" spans="3:4" ht="12.75">
      <c r="C33">
        <v>13693</v>
      </c>
      <c r="D33" t="s">
        <v>727</v>
      </c>
    </row>
    <row r="34" ht="12.75">
      <c r="D34" t="s">
        <v>720</v>
      </c>
    </row>
    <row r="35" spans="3:4" ht="12.75">
      <c r="C35" t="s">
        <v>729</v>
      </c>
      <c r="D35" t="s">
        <v>730</v>
      </c>
    </row>
    <row r="36" spans="3:4" ht="12.75">
      <c r="C36">
        <v>13707</v>
      </c>
      <c r="D36" t="s">
        <v>731</v>
      </c>
    </row>
    <row r="37" spans="3:4" ht="12.75">
      <c r="C37">
        <v>13709</v>
      </c>
      <c r="D37" t="s">
        <v>732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6:U6"/>
    <mergeCell ref="V6:V8"/>
    <mergeCell ref="W6:W8"/>
    <mergeCell ref="U7:U8"/>
    <mergeCell ref="T7:T8"/>
    <mergeCell ref="AB6:AB8"/>
    <mergeCell ref="X6:X8"/>
    <mergeCell ref="Y6:Y8"/>
    <mergeCell ref="Z6:Z8"/>
    <mergeCell ref="AA6:AA8"/>
  </mergeCells>
  <printOptions/>
  <pageMargins left="0.18" right="0.3" top="1.26" bottom="1" header="0.2" footer="0.5"/>
  <pageSetup horizontalDpi="600" verticalDpi="600" orientation="landscape" r:id="rId1"/>
  <headerFooter alignWithMargins="0">
    <oddHeader>&amp;L
PacifiCorp
Site Name:  Hunter Power Plant
Site ID:  10237&amp;CRegional Haze
1996 Statewide SOx Sources</oddHeader>
    <oddFooter>&amp;R&amp;D
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M32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6.00390625" style="0" customWidth="1"/>
    <col min="3" max="3" width="8.00390625" style="0" customWidth="1"/>
    <col min="4" max="4" width="9.57421875" style="0" customWidth="1"/>
    <col min="5" max="5" width="24.140625" style="0" customWidth="1"/>
    <col min="6" max="6" width="5.8515625" style="0" customWidth="1"/>
    <col min="7" max="7" width="11.28125" style="0" customWidth="1"/>
    <col min="8" max="8" width="16.8515625" style="0" customWidth="1"/>
    <col min="9" max="9" width="8.140625" style="0" customWidth="1"/>
    <col min="10" max="10" width="7.7109375" style="0" customWidth="1"/>
    <col min="11" max="11" width="7.28125" style="0" customWidth="1"/>
    <col min="12" max="12" width="7.8515625" style="0" customWidth="1"/>
    <col min="13" max="13" width="8.28125" style="0" customWidth="1"/>
    <col min="14" max="14" width="6.8515625" style="0" customWidth="1"/>
    <col min="15" max="15" width="6.7109375" style="0" customWidth="1"/>
    <col min="16" max="16" width="6.421875" style="0" customWidth="1"/>
    <col min="18" max="18" width="17.00390625" style="0" customWidth="1"/>
    <col min="20" max="20" width="11.28125" style="0" customWidth="1"/>
    <col min="21" max="21" width="9.7109375" style="0" customWidth="1"/>
    <col min="22" max="22" width="9.57421875" style="0" customWidth="1"/>
    <col min="23" max="23" width="10.28125" style="45" customWidth="1"/>
    <col min="24" max="24" width="11.140625" style="0" customWidth="1"/>
    <col min="25" max="25" width="8.7109375" style="0" customWidth="1"/>
    <col min="27" max="27" width="11.28125" style="0" customWidth="1"/>
    <col min="28" max="28" width="31.421875" style="0" customWidth="1"/>
  </cols>
  <sheetData>
    <row r="1" spans="1:5" ht="15.75">
      <c r="A1" s="14" t="s">
        <v>1</v>
      </c>
      <c r="B1" s="14"/>
      <c r="C1" s="56" t="s">
        <v>200</v>
      </c>
      <c r="E1" s="4" t="s">
        <v>44</v>
      </c>
    </row>
    <row r="2" spans="1:5" ht="15">
      <c r="A2" s="14"/>
      <c r="B2" s="14"/>
      <c r="C2" t="s">
        <v>742</v>
      </c>
      <c r="E2" s="5" t="s">
        <v>666</v>
      </c>
    </row>
    <row r="3" spans="1:3" ht="12.75">
      <c r="A3" s="14" t="s">
        <v>13</v>
      </c>
      <c r="B3" s="14" t="s">
        <v>14</v>
      </c>
      <c r="C3" s="56" t="s">
        <v>201</v>
      </c>
    </row>
    <row r="4" spans="1:2" ht="12.75">
      <c r="A4" s="55">
        <v>10313</v>
      </c>
      <c r="B4" s="14"/>
    </row>
    <row r="5" ht="13.5" thickBot="1"/>
    <row r="6" spans="1:65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84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616" t="s">
        <v>286</v>
      </c>
      <c r="X6" s="503" t="s">
        <v>34</v>
      </c>
      <c r="Y6" s="503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</row>
    <row r="7" spans="1:65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5"/>
      <c r="N7" s="577"/>
      <c r="O7" s="577"/>
      <c r="P7" s="577"/>
      <c r="Q7" s="572"/>
      <c r="R7" s="528" t="s">
        <v>41</v>
      </c>
      <c r="S7" s="528" t="s">
        <v>33</v>
      </c>
      <c r="T7" s="528" t="s">
        <v>813</v>
      </c>
      <c r="U7" s="528" t="s">
        <v>33</v>
      </c>
      <c r="V7" s="528"/>
      <c r="W7" s="617"/>
      <c r="X7" s="528"/>
      <c r="Y7" s="528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</row>
    <row r="8" spans="1:65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18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618"/>
      <c r="X8" s="490"/>
      <c r="Y8" s="490"/>
      <c r="Z8" s="490"/>
      <c r="AA8" s="586"/>
      <c r="AB8" s="58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</row>
    <row r="9" spans="1:28" ht="12.75">
      <c r="A9" s="416" t="s">
        <v>97</v>
      </c>
      <c r="B9" s="417">
        <v>982</v>
      </c>
      <c r="C9" s="418" t="s">
        <v>202</v>
      </c>
      <c r="D9" s="417">
        <v>20200301</v>
      </c>
      <c r="E9" s="418" t="s">
        <v>203</v>
      </c>
      <c r="F9" s="417" t="s">
        <v>75</v>
      </c>
      <c r="G9" s="417">
        <v>0</v>
      </c>
      <c r="H9" s="418" t="s">
        <v>204</v>
      </c>
      <c r="I9" s="417">
        <v>16955</v>
      </c>
      <c r="J9" s="417" t="s">
        <v>733</v>
      </c>
      <c r="K9" s="417">
        <v>0</v>
      </c>
      <c r="L9" s="417">
        <v>0</v>
      </c>
      <c r="M9" s="417">
        <v>0</v>
      </c>
      <c r="N9" s="417">
        <v>0</v>
      </c>
      <c r="O9" s="417">
        <v>0</v>
      </c>
      <c r="P9" s="273">
        <v>0</v>
      </c>
      <c r="Q9" s="418" t="s">
        <v>52</v>
      </c>
      <c r="R9" s="418"/>
      <c r="S9" s="418"/>
      <c r="T9" s="418"/>
      <c r="U9" s="418"/>
      <c r="V9" s="418"/>
      <c r="W9" s="423">
        <f>(Z9*I9/1000)/2000</f>
        <v>0.0447612</v>
      </c>
      <c r="X9" s="417" t="s">
        <v>51</v>
      </c>
      <c r="Y9" s="417">
        <v>3</v>
      </c>
      <c r="Z9" s="417">
        <v>5.28</v>
      </c>
      <c r="AA9" s="417" t="s">
        <v>734</v>
      </c>
      <c r="AB9" s="418" t="s">
        <v>205</v>
      </c>
    </row>
    <row r="10" spans="1:28" ht="12.75">
      <c r="A10" s="419" t="s">
        <v>97</v>
      </c>
      <c r="B10" s="415">
        <v>1030</v>
      </c>
      <c r="C10" s="414" t="s">
        <v>69</v>
      </c>
      <c r="D10" s="415">
        <v>20200101</v>
      </c>
      <c r="E10" s="414" t="s">
        <v>206</v>
      </c>
      <c r="F10" s="415" t="s">
        <v>75</v>
      </c>
      <c r="G10" s="415">
        <v>0</v>
      </c>
      <c r="H10" s="414" t="s">
        <v>207</v>
      </c>
      <c r="I10" s="415">
        <v>4747</v>
      </c>
      <c r="J10" s="415" t="s">
        <v>733</v>
      </c>
      <c r="K10" s="415">
        <v>0</v>
      </c>
      <c r="L10" s="415">
        <v>0</v>
      </c>
      <c r="M10" s="415">
        <v>0</v>
      </c>
      <c r="N10" s="415">
        <v>0</v>
      </c>
      <c r="O10" s="415">
        <v>0</v>
      </c>
      <c r="P10" s="75">
        <v>0</v>
      </c>
      <c r="Q10" s="414" t="s">
        <v>52</v>
      </c>
      <c r="R10" s="414"/>
      <c r="S10" s="414"/>
      <c r="T10" s="414"/>
      <c r="U10" s="414"/>
      <c r="V10" s="414"/>
      <c r="W10" s="424">
        <f>Z10*I10/1000/2000</f>
        <v>0.07381585000000002</v>
      </c>
      <c r="X10" s="415" t="s">
        <v>51</v>
      </c>
      <c r="Y10" s="415">
        <v>3</v>
      </c>
      <c r="Z10" s="415">
        <v>31.1</v>
      </c>
      <c r="AA10" s="415" t="s">
        <v>734</v>
      </c>
      <c r="AB10" s="414" t="s">
        <v>208</v>
      </c>
    </row>
    <row r="11" spans="1:28" ht="12.75">
      <c r="A11" s="419" t="s">
        <v>97</v>
      </c>
      <c r="B11" s="415">
        <v>1197</v>
      </c>
      <c r="C11" s="414" t="s">
        <v>67</v>
      </c>
      <c r="D11" s="415">
        <v>20200101</v>
      </c>
      <c r="E11" s="414" t="s">
        <v>209</v>
      </c>
      <c r="F11" s="415" t="s">
        <v>75</v>
      </c>
      <c r="G11" s="415">
        <v>0</v>
      </c>
      <c r="H11" s="414" t="s">
        <v>207</v>
      </c>
      <c r="I11" s="415">
        <v>5845</v>
      </c>
      <c r="J11" s="415" t="s">
        <v>733</v>
      </c>
      <c r="K11" s="415">
        <v>0</v>
      </c>
      <c r="L11" s="415">
        <v>0</v>
      </c>
      <c r="M11" s="415">
        <v>0</v>
      </c>
      <c r="N11" s="415">
        <v>0</v>
      </c>
      <c r="O11" s="415">
        <v>0</v>
      </c>
      <c r="P11" s="75">
        <v>0</v>
      </c>
      <c r="Q11" s="414" t="s">
        <v>52</v>
      </c>
      <c r="R11" s="414"/>
      <c r="S11" s="414"/>
      <c r="T11" s="414"/>
      <c r="U11" s="414"/>
      <c r="V11" s="414"/>
      <c r="W11" s="424">
        <f>Z11*I11/1000/2000</f>
        <v>0.09147425</v>
      </c>
      <c r="X11" s="415" t="s">
        <v>51</v>
      </c>
      <c r="Y11" s="415">
        <v>3</v>
      </c>
      <c r="Z11" s="415">
        <v>31.3</v>
      </c>
      <c r="AA11" s="415" t="s">
        <v>734</v>
      </c>
      <c r="AB11" s="414" t="s">
        <v>208</v>
      </c>
    </row>
    <row r="12" spans="1:28" ht="12.75">
      <c r="A12" s="419" t="s">
        <v>97</v>
      </c>
      <c r="B12" s="415">
        <v>1198</v>
      </c>
      <c r="C12" s="414" t="s">
        <v>48</v>
      </c>
      <c r="D12" s="415">
        <v>20200101</v>
      </c>
      <c r="E12" s="414" t="s">
        <v>210</v>
      </c>
      <c r="F12" s="415" t="s">
        <v>75</v>
      </c>
      <c r="G12" s="415">
        <v>0</v>
      </c>
      <c r="H12" s="414" t="s">
        <v>207</v>
      </c>
      <c r="I12" s="415">
        <v>84096</v>
      </c>
      <c r="J12" s="415" t="s">
        <v>733</v>
      </c>
      <c r="K12" s="415">
        <v>0</v>
      </c>
      <c r="L12" s="415">
        <v>0</v>
      </c>
      <c r="M12" s="415">
        <v>0</v>
      </c>
      <c r="N12" s="415">
        <v>0</v>
      </c>
      <c r="O12" s="415">
        <v>0</v>
      </c>
      <c r="P12" s="75">
        <v>0</v>
      </c>
      <c r="Q12" s="414" t="s">
        <v>52</v>
      </c>
      <c r="R12" s="414"/>
      <c r="S12" s="414"/>
      <c r="T12" s="414"/>
      <c r="U12" s="414"/>
      <c r="V12" s="414"/>
      <c r="W12" s="424">
        <f>Z12*I12/1000/2000</f>
        <v>1.3118975999999998</v>
      </c>
      <c r="X12" s="415" t="s">
        <v>51</v>
      </c>
      <c r="Y12" s="415">
        <v>3</v>
      </c>
      <c r="Z12" s="415">
        <v>31.2</v>
      </c>
      <c r="AA12" s="415" t="s">
        <v>734</v>
      </c>
      <c r="AB12" s="414" t="s">
        <v>208</v>
      </c>
    </row>
    <row r="13" spans="1:28" ht="12.75">
      <c r="A13" s="419" t="s">
        <v>97</v>
      </c>
      <c r="B13" s="415">
        <v>1199</v>
      </c>
      <c r="C13" s="414" t="s">
        <v>63</v>
      </c>
      <c r="D13" s="415">
        <v>20200101</v>
      </c>
      <c r="E13" s="414" t="s">
        <v>211</v>
      </c>
      <c r="F13" s="415" t="s">
        <v>75</v>
      </c>
      <c r="G13" s="415">
        <v>0</v>
      </c>
      <c r="H13" s="414" t="s">
        <v>207</v>
      </c>
      <c r="I13" s="415">
        <v>89323</v>
      </c>
      <c r="J13" s="415" t="s">
        <v>733</v>
      </c>
      <c r="K13" s="415">
        <v>0</v>
      </c>
      <c r="L13" s="415">
        <v>0</v>
      </c>
      <c r="M13" s="415">
        <v>0</v>
      </c>
      <c r="N13" s="415">
        <v>0</v>
      </c>
      <c r="O13" s="415">
        <v>0</v>
      </c>
      <c r="P13" s="75">
        <v>0</v>
      </c>
      <c r="Q13" s="414" t="s">
        <v>52</v>
      </c>
      <c r="R13" s="414"/>
      <c r="S13" s="414"/>
      <c r="T13" s="414"/>
      <c r="U13" s="414"/>
      <c r="V13" s="414"/>
      <c r="W13" s="424">
        <f>Z13*I13/1000/2000</f>
        <v>1.3934388000000002</v>
      </c>
      <c r="X13" s="415" t="s">
        <v>51</v>
      </c>
      <c r="Y13" s="415">
        <v>3</v>
      </c>
      <c r="Z13" s="415">
        <v>31.2</v>
      </c>
      <c r="AA13" s="415" t="s">
        <v>734</v>
      </c>
      <c r="AB13" s="414" t="s">
        <v>208</v>
      </c>
    </row>
    <row r="14" spans="1:28" ht="12.75">
      <c r="A14" s="419" t="s">
        <v>48</v>
      </c>
      <c r="B14" s="415">
        <v>1306</v>
      </c>
      <c r="C14" s="414" t="s">
        <v>212</v>
      </c>
      <c r="D14" s="415">
        <v>30501604</v>
      </c>
      <c r="E14" s="414" t="s">
        <v>213</v>
      </c>
      <c r="F14" s="415" t="s">
        <v>76</v>
      </c>
      <c r="G14" s="415">
        <v>71</v>
      </c>
      <c r="H14" s="414" t="s">
        <v>214</v>
      </c>
      <c r="I14" s="415">
        <v>8051.3</v>
      </c>
      <c r="J14" s="415" t="s">
        <v>818</v>
      </c>
      <c r="K14" s="415">
        <v>600</v>
      </c>
      <c r="L14" s="415" t="s">
        <v>579</v>
      </c>
      <c r="M14" s="415" t="s">
        <v>186</v>
      </c>
      <c r="N14" s="415" t="s">
        <v>186</v>
      </c>
      <c r="O14" s="415" t="s">
        <v>186</v>
      </c>
      <c r="P14" s="415" t="s">
        <v>186</v>
      </c>
      <c r="Q14" s="414" t="s">
        <v>52</v>
      </c>
      <c r="R14" s="414" t="s">
        <v>462</v>
      </c>
      <c r="S14" s="414">
        <v>2</v>
      </c>
      <c r="T14" s="414"/>
      <c r="U14" s="414"/>
      <c r="V14" s="414">
        <v>80</v>
      </c>
      <c r="W14" s="424">
        <f>(Z14*I14/2000)+X14</f>
        <v>90.23456</v>
      </c>
      <c r="X14" s="415">
        <v>0.06</v>
      </c>
      <c r="Y14" s="415">
        <v>5</v>
      </c>
      <c r="Z14" s="415">
        <v>22.4</v>
      </c>
      <c r="AA14" s="415" t="s">
        <v>388</v>
      </c>
      <c r="AB14" s="414" t="s">
        <v>215</v>
      </c>
    </row>
    <row r="15" spans="1:28" ht="12.75">
      <c r="A15" s="419" t="s">
        <v>48</v>
      </c>
      <c r="B15" s="415">
        <v>1307</v>
      </c>
      <c r="C15" s="414" t="s">
        <v>216</v>
      </c>
      <c r="D15" s="415">
        <v>30501604</v>
      </c>
      <c r="E15" s="414" t="s">
        <v>217</v>
      </c>
      <c r="F15" s="415" t="s">
        <v>76</v>
      </c>
      <c r="G15" s="415">
        <v>72</v>
      </c>
      <c r="H15" s="414" t="s">
        <v>214</v>
      </c>
      <c r="I15" s="415">
        <v>7761</v>
      </c>
      <c r="J15" s="415" t="s">
        <v>818</v>
      </c>
      <c r="K15" s="415">
        <v>600</v>
      </c>
      <c r="L15" s="415" t="s">
        <v>579</v>
      </c>
      <c r="M15" s="415">
        <v>0</v>
      </c>
      <c r="N15" s="415">
        <v>0</v>
      </c>
      <c r="O15" s="415" t="s">
        <v>51</v>
      </c>
      <c r="P15" s="415" t="s">
        <v>51</v>
      </c>
      <c r="Q15" s="414" t="s">
        <v>52</v>
      </c>
      <c r="R15" s="414" t="s">
        <v>736</v>
      </c>
      <c r="S15" s="414">
        <v>16</v>
      </c>
      <c r="T15" s="414"/>
      <c r="U15" s="414"/>
      <c r="V15" s="414">
        <v>99.8</v>
      </c>
      <c r="W15" s="424">
        <f>(Z15*I15/2000)+X15</f>
        <v>88.52319999999999</v>
      </c>
      <c r="X15" s="415">
        <v>1.6</v>
      </c>
      <c r="Y15" s="415">
        <v>5</v>
      </c>
      <c r="Z15" s="415">
        <v>22.4</v>
      </c>
      <c r="AA15" s="415" t="s">
        <v>388</v>
      </c>
      <c r="AB15" s="414" t="s">
        <v>215</v>
      </c>
    </row>
    <row r="16" spans="1:28" ht="12.75">
      <c r="A16" s="419" t="s">
        <v>48</v>
      </c>
      <c r="B16" s="415">
        <v>1308</v>
      </c>
      <c r="C16" s="414" t="s">
        <v>218</v>
      </c>
      <c r="D16" s="415">
        <v>30501604</v>
      </c>
      <c r="E16" s="414" t="s">
        <v>219</v>
      </c>
      <c r="F16" s="415" t="s">
        <v>76</v>
      </c>
      <c r="G16" s="415">
        <v>73</v>
      </c>
      <c r="H16" s="414" t="s">
        <v>214</v>
      </c>
      <c r="I16" s="415">
        <v>8239.4</v>
      </c>
      <c r="J16" s="415" t="s">
        <v>818</v>
      </c>
      <c r="K16" s="415">
        <v>840</v>
      </c>
      <c r="L16" s="415" t="s">
        <v>579</v>
      </c>
      <c r="M16" s="415">
        <v>0</v>
      </c>
      <c r="N16" s="415">
        <v>0</v>
      </c>
      <c r="O16" s="415" t="s">
        <v>51</v>
      </c>
      <c r="P16" s="415" t="s">
        <v>51</v>
      </c>
      <c r="Q16" s="414" t="s">
        <v>52</v>
      </c>
      <c r="R16" s="414" t="s">
        <v>736</v>
      </c>
      <c r="S16" s="414">
        <v>16</v>
      </c>
      <c r="T16" s="414"/>
      <c r="U16" s="414"/>
      <c r="V16" s="414">
        <v>99.8</v>
      </c>
      <c r="W16" s="424">
        <f>(Z16*I16/2000)+X16</f>
        <v>114.68584</v>
      </c>
      <c r="X16" s="415">
        <v>2.63</v>
      </c>
      <c r="Y16" s="415">
        <v>5</v>
      </c>
      <c r="Z16" s="415">
        <v>27.2</v>
      </c>
      <c r="AA16" s="415" t="s">
        <v>388</v>
      </c>
      <c r="AB16" s="414" t="s">
        <v>215</v>
      </c>
    </row>
    <row r="17" spans="1:28" ht="12.75">
      <c r="A17" s="419" t="s">
        <v>97</v>
      </c>
      <c r="B17" s="415">
        <v>9664</v>
      </c>
      <c r="C17" s="414" t="s">
        <v>220</v>
      </c>
      <c r="D17" s="415">
        <v>20200101</v>
      </c>
      <c r="E17" s="414" t="s">
        <v>737</v>
      </c>
      <c r="F17" s="415" t="s">
        <v>75</v>
      </c>
      <c r="G17" s="415">
        <v>0</v>
      </c>
      <c r="H17" s="414" t="s">
        <v>207</v>
      </c>
      <c r="I17" s="415">
        <v>4695</v>
      </c>
      <c r="J17" s="415" t="s">
        <v>733</v>
      </c>
      <c r="K17" s="415"/>
      <c r="L17" s="415">
        <v>0</v>
      </c>
      <c r="M17" s="415">
        <v>0</v>
      </c>
      <c r="N17" s="415">
        <v>0</v>
      </c>
      <c r="O17" s="415">
        <v>0</v>
      </c>
      <c r="P17" s="415">
        <v>0</v>
      </c>
      <c r="Q17" s="414" t="s">
        <v>52</v>
      </c>
      <c r="R17" s="414"/>
      <c r="S17" s="414"/>
      <c r="T17" s="414"/>
      <c r="U17" s="414"/>
      <c r="V17" s="414"/>
      <c r="W17" s="424">
        <f aca="true" t="shared" si="0" ref="W17:W22">Z17*I17/1000/2000</f>
        <v>0.073242</v>
      </c>
      <c r="X17" s="415" t="s">
        <v>51</v>
      </c>
      <c r="Y17" s="415">
        <v>3</v>
      </c>
      <c r="Z17" s="415">
        <v>31.2</v>
      </c>
      <c r="AA17" s="415" t="s">
        <v>734</v>
      </c>
      <c r="AB17" s="414" t="s">
        <v>208</v>
      </c>
    </row>
    <row r="18" spans="1:28" ht="12.75">
      <c r="A18" s="419" t="s">
        <v>97</v>
      </c>
      <c r="B18" s="415">
        <v>9665</v>
      </c>
      <c r="C18" s="414" t="s">
        <v>222</v>
      </c>
      <c r="D18" s="415">
        <v>20200101</v>
      </c>
      <c r="E18" s="414" t="s">
        <v>223</v>
      </c>
      <c r="F18" s="415" t="s">
        <v>75</v>
      </c>
      <c r="G18" s="415">
        <v>0</v>
      </c>
      <c r="H18" s="414" t="s">
        <v>207</v>
      </c>
      <c r="I18" s="415">
        <v>1186</v>
      </c>
      <c r="J18" s="415" t="s">
        <v>733</v>
      </c>
      <c r="K18" s="415"/>
      <c r="L18" s="415">
        <v>0</v>
      </c>
      <c r="M18" s="415">
        <v>0</v>
      </c>
      <c r="N18" s="415">
        <v>0</v>
      </c>
      <c r="O18" s="415">
        <v>0</v>
      </c>
      <c r="P18" s="415">
        <v>0</v>
      </c>
      <c r="Q18" s="414" t="s">
        <v>52</v>
      </c>
      <c r="R18" s="414"/>
      <c r="S18" s="414"/>
      <c r="T18" s="414"/>
      <c r="U18" s="414"/>
      <c r="V18" s="414"/>
      <c r="W18" s="424">
        <f t="shared" si="0"/>
        <v>0.0185016</v>
      </c>
      <c r="X18" s="415" t="s">
        <v>51</v>
      </c>
      <c r="Y18" s="415">
        <v>3</v>
      </c>
      <c r="Z18" s="415">
        <v>31.2</v>
      </c>
      <c r="AA18" s="415" t="s">
        <v>734</v>
      </c>
      <c r="AB18" s="414" t="s">
        <v>208</v>
      </c>
    </row>
    <row r="19" spans="1:28" ht="12.75">
      <c r="A19" s="419" t="s">
        <v>97</v>
      </c>
      <c r="B19" s="415">
        <v>9666</v>
      </c>
      <c r="C19" s="414" t="s">
        <v>224</v>
      </c>
      <c r="D19" s="415">
        <v>20200101</v>
      </c>
      <c r="E19" s="414" t="s">
        <v>225</v>
      </c>
      <c r="F19" s="415" t="s">
        <v>75</v>
      </c>
      <c r="G19" s="415">
        <v>0</v>
      </c>
      <c r="H19" s="414" t="s">
        <v>207</v>
      </c>
      <c r="I19" s="415">
        <v>25520</v>
      </c>
      <c r="J19" s="415" t="s">
        <v>733</v>
      </c>
      <c r="K19" s="415"/>
      <c r="L19" s="415">
        <v>0</v>
      </c>
      <c r="M19" s="415">
        <v>0</v>
      </c>
      <c r="N19" s="415">
        <v>0</v>
      </c>
      <c r="O19" s="415">
        <v>0</v>
      </c>
      <c r="P19" s="415">
        <v>0</v>
      </c>
      <c r="Q19" s="414" t="s">
        <v>52</v>
      </c>
      <c r="R19" s="414"/>
      <c r="S19" s="414"/>
      <c r="T19" s="414"/>
      <c r="U19" s="414"/>
      <c r="V19" s="414"/>
      <c r="W19" s="424">
        <f t="shared" si="0"/>
        <v>0.396836</v>
      </c>
      <c r="X19" s="415" t="s">
        <v>51</v>
      </c>
      <c r="Y19" s="415">
        <v>3</v>
      </c>
      <c r="Z19" s="415">
        <v>31.1</v>
      </c>
      <c r="AA19" s="415" t="s">
        <v>734</v>
      </c>
      <c r="AB19" s="414" t="s">
        <v>208</v>
      </c>
    </row>
    <row r="20" spans="1:28" ht="12.75">
      <c r="A20" s="419" t="s">
        <v>48</v>
      </c>
      <c r="B20" s="415">
        <v>11726</v>
      </c>
      <c r="C20" s="414" t="s">
        <v>226</v>
      </c>
      <c r="D20" s="415">
        <v>10301002</v>
      </c>
      <c r="E20" s="414" t="s">
        <v>227</v>
      </c>
      <c r="F20" s="415" t="s">
        <v>75</v>
      </c>
      <c r="G20" s="415">
        <v>71</v>
      </c>
      <c r="H20" s="414" t="s">
        <v>228</v>
      </c>
      <c r="I20" s="415">
        <v>6252</v>
      </c>
      <c r="J20" s="415" t="s">
        <v>733</v>
      </c>
      <c r="K20" s="415"/>
      <c r="L20" s="415">
        <v>0</v>
      </c>
      <c r="M20" s="415">
        <v>0.075</v>
      </c>
      <c r="N20" s="415">
        <v>1173</v>
      </c>
      <c r="O20" s="415">
        <v>0</v>
      </c>
      <c r="P20" s="415">
        <v>0</v>
      </c>
      <c r="Q20" s="414" t="s">
        <v>52</v>
      </c>
      <c r="R20" s="414"/>
      <c r="S20" s="414"/>
      <c r="T20" s="414"/>
      <c r="U20" s="414"/>
      <c r="V20" s="414"/>
      <c r="W20" s="424">
        <f t="shared" si="0"/>
        <v>0.0009377999999999999</v>
      </c>
      <c r="X20" s="415">
        <v>0</v>
      </c>
      <c r="Y20" s="415">
        <v>3</v>
      </c>
      <c r="Z20" s="415">
        <v>0.3</v>
      </c>
      <c r="AA20" s="415" t="s">
        <v>734</v>
      </c>
      <c r="AB20" s="414" t="s">
        <v>229</v>
      </c>
    </row>
    <row r="21" spans="1:28" ht="12.75">
      <c r="A21" s="419" t="s">
        <v>48</v>
      </c>
      <c r="B21" s="415">
        <v>11727</v>
      </c>
      <c r="C21" s="414" t="s">
        <v>230</v>
      </c>
      <c r="D21" s="415">
        <v>10301002</v>
      </c>
      <c r="E21" s="414" t="s">
        <v>231</v>
      </c>
      <c r="F21" s="415" t="s">
        <v>75</v>
      </c>
      <c r="G21" s="415">
        <v>72</v>
      </c>
      <c r="H21" s="414" t="s">
        <v>228</v>
      </c>
      <c r="I21" s="415">
        <v>8243</v>
      </c>
      <c r="J21" s="415" t="s">
        <v>733</v>
      </c>
      <c r="K21" s="415"/>
      <c r="L21" s="415">
        <v>0</v>
      </c>
      <c r="M21" s="415">
        <v>0.075</v>
      </c>
      <c r="N21" s="415">
        <v>1173</v>
      </c>
      <c r="O21" s="415">
        <v>0</v>
      </c>
      <c r="P21" s="415">
        <v>0</v>
      </c>
      <c r="Q21" s="414" t="s">
        <v>52</v>
      </c>
      <c r="R21" s="414"/>
      <c r="S21" s="414"/>
      <c r="T21" s="414"/>
      <c r="U21" s="414"/>
      <c r="V21" s="414"/>
      <c r="W21" s="424">
        <f t="shared" si="0"/>
        <v>0.00123645</v>
      </c>
      <c r="X21" s="415">
        <v>0</v>
      </c>
      <c r="Y21" s="415">
        <v>3</v>
      </c>
      <c r="Z21" s="415">
        <v>0.3</v>
      </c>
      <c r="AA21" s="415" t="s">
        <v>734</v>
      </c>
      <c r="AB21" s="414" t="s">
        <v>229</v>
      </c>
    </row>
    <row r="22" spans="1:28" ht="13.5" thickBot="1">
      <c r="A22" s="420" t="s">
        <v>48</v>
      </c>
      <c r="B22" s="421">
        <v>11728</v>
      </c>
      <c r="C22" s="422" t="s">
        <v>232</v>
      </c>
      <c r="D22" s="421">
        <v>10301002</v>
      </c>
      <c r="E22" s="422" t="s">
        <v>233</v>
      </c>
      <c r="F22" s="421" t="s">
        <v>75</v>
      </c>
      <c r="G22" s="421">
        <v>73</v>
      </c>
      <c r="H22" s="422" t="s">
        <v>228</v>
      </c>
      <c r="I22" s="421">
        <v>6488</v>
      </c>
      <c r="J22" s="421" t="s">
        <v>733</v>
      </c>
      <c r="K22" s="421"/>
      <c r="L22" s="421">
        <v>0</v>
      </c>
      <c r="M22" s="421">
        <v>0.075</v>
      </c>
      <c r="N22" s="421">
        <v>1173</v>
      </c>
      <c r="O22" s="421">
        <v>0</v>
      </c>
      <c r="P22" s="421">
        <v>0</v>
      </c>
      <c r="Q22" s="422" t="s">
        <v>52</v>
      </c>
      <c r="R22" s="422"/>
      <c r="S22" s="422"/>
      <c r="T22" s="422"/>
      <c r="U22" s="422"/>
      <c r="V22" s="422"/>
      <c r="W22" s="425">
        <f t="shared" si="0"/>
        <v>0.0009731999999999999</v>
      </c>
      <c r="X22" s="421">
        <v>0</v>
      </c>
      <c r="Y22" s="421">
        <v>3</v>
      </c>
      <c r="Z22" s="421">
        <v>0.3</v>
      </c>
      <c r="AA22" s="421" t="s">
        <v>734</v>
      </c>
      <c r="AB22" s="422" t="s">
        <v>234</v>
      </c>
    </row>
    <row r="23" spans="22:23" ht="13.5" thickBot="1">
      <c r="V23" s="445" t="s">
        <v>79</v>
      </c>
      <c r="W23" s="452">
        <f>SUM(W9:W22)</f>
        <v>296.85071474999995</v>
      </c>
    </row>
    <row r="24" ht="13.5" thickTop="1">
      <c r="C24" s="14" t="s">
        <v>653</v>
      </c>
    </row>
    <row r="25" ht="12.75">
      <c r="C25" t="s">
        <v>741</v>
      </c>
    </row>
    <row r="26" ht="12.75">
      <c r="D26" t="s">
        <v>735</v>
      </c>
    </row>
    <row r="27" ht="12.75">
      <c r="C27">
        <v>1306</v>
      </c>
    </row>
    <row r="28" ht="12.75">
      <c r="D28" t="s">
        <v>740</v>
      </c>
    </row>
    <row r="29" ht="12.75">
      <c r="C29">
        <v>1307</v>
      </c>
    </row>
    <row r="30" ht="12.75">
      <c r="D30" t="s">
        <v>739</v>
      </c>
    </row>
    <row r="31" ht="12.75">
      <c r="C31">
        <v>1308</v>
      </c>
    </row>
    <row r="32" ht="12.75">
      <c r="D32" t="s">
        <v>738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T6:U6"/>
    <mergeCell ref="V6:V8"/>
    <mergeCell ref="W6:W8"/>
    <mergeCell ref="U7:U8"/>
    <mergeCell ref="T7:T8"/>
    <mergeCell ref="AB6:AB8"/>
    <mergeCell ref="X6:X8"/>
    <mergeCell ref="Y6:Y8"/>
    <mergeCell ref="Z6:Z8"/>
    <mergeCell ref="AA6:AA8"/>
  </mergeCells>
  <printOptions/>
  <pageMargins left="0.75" right="0.75" top="1.29" bottom="1" header="0.5" footer="0.5"/>
  <pageSetup horizontalDpi="600" verticalDpi="600" orientation="landscape" r:id="rId1"/>
  <headerFooter alignWithMargins="0">
    <oddHeader>&amp;LGraymont Western US Inc.
(was Continental Lime
Site Name:  Cricket Mountain Plant
Site ID:  10313&amp;C&amp;"Arial,Bold"Regional Haze&amp;"Arial,Regular"
1996 Statewide SOx Sources</oddHeader>
    <oddFooter>&amp;R&amp;D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3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421875" style="0" customWidth="1"/>
    <col min="3" max="3" width="8.00390625" style="0" customWidth="1"/>
    <col min="5" max="5" width="25.7109375" style="0" customWidth="1"/>
    <col min="6" max="6" width="8.28125" style="0" customWidth="1"/>
    <col min="7" max="7" width="10.421875" style="0" customWidth="1"/>
    <col min="8" max="8" width="15.28125" style="0" customWidth="1"/>
    <col min="9" max="9" width="8.28125" style="0" customWidth="1"/>
    <col min="11" max="11" width="7.8515625" style="0" customWidth="1"/>
    <col min="12" max="12" width="5.28125" style="0" customWidth="1"/>
    <col min="18" max="18" width="38.421875" style="0" customWidth="1"/>
    <col min="20" max="20" width="11.421875" style="0" customWidth="1"/>
    <col min="22" max="22" width="10.57421875" style="0" customWidth="1"/>
    <col min="23" max="25" width="11.7109375" style="0" customWidth="1"/>
    <col min="28" max="28" width="23.8515625" style="0" customWidth="1"/>
    <col min="29" max="29" width="29.140625" style="0" customWidth="1"/>
  </cols>
  <sheetData>
    <row r="1" spans="1:5" ht="15.75">
      <c r="A1" s="17" t="s">
        <v>92</v>
      </c>
      <c r="B1" s="14"/>
      <c r="E1" s="4" t="s">
        <v>44</v>
      </c>
    </row>
    <row r="2" spans="1:5" ht="15">
      <c r="A2" s="14"/>
      <c r="B2" s="14"/>
      <c r="E2" s="5" t="s">
        <v>91</v>
      </c>
    </row>
    <row r="3" spans="1:3" ht="25.5">
      <c r="A3" s="14" t="s">
        <v>13</v>
      </c>
      <c r="B3" s="14" t="s">
        <v>14</v>
      </c>
      <c r="C3" s="16" t="s">
        <v>93</v>
      </c>
    </row>
    <row r="4" spans="1:2" ht="12.75">
      <c r="A4" s="15">
        <v>10790</v>
      </c>
      <c r="B4" s="14"/>
    </row>
    <row r="5" spans="1:65" ht="13.5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</row>
    <row r="6" spans="1:65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46"/>
      <c r="K6" s="546"/>
      <c r="L6" s="547"/>
      <c r="M6" s="549" t="s">
        <v>15</v>
      </c>
      <c r="N6" s="546"/>
      <c r="O6" s="546"/>
      <c r="P6" s="546"/>
      <c r="Q6" s="73"/>
      <c r="R6" s="539" t="s">
        <v>30</v>
      </c>
      <c r="S6" s="540"/>
      <c r="T6" s="539" t="s">
        <v>31</v>
      </c>
      <c r="U6" s="541"/>
      <c r="V6" s="542" t="s">
        <v>40</v>
      </c>
      <c r="W6" s="500" t="s">
        <v>286</v>
      </c>
      <c r="X6" s="500" t="s">
        <v>34</v>
      </c>
      <c r="Y6" s="500" t="s">
        <v>36</v>
      </c>
      <c r="Z6" s="500" t="s">
        <v>37</v>
      </c>
      <c r="AA6" s="500" t="s">
        <v>38</v>
      </c>
      <c r="AB6" s="506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</row>
    <row r="7" spans="1:65" s="1" customFormat="1" ht="24.75" customHeight="1">
      <c r="A7" s="513"/>
      <c r="B7" s="535"/>
      <c r="C7" s="537"/>
      <c r="D7" s="537"/>
      <c r="E7" s="537"/>
      <c r="F7" s="537"/>
      <c r="G7" s="537"/>
      <c r="H7" s="537"/>
      <c r="I7" s="537"/>
      <c r="J7" s="537"/>
      <c r="K7" s="537"/>
      <c r="L7" s="548"/>
      <c r="M7" s="535"/>
      <c r="N7" s="537"/>
      <c r="O7" s="537"/>
      <c r="P7" s="537"/>
      <c r="Q7" s="494" t="s">
        <v>32</v>
      </c>
      <c r="R7" s="494" t="s">
        <v>41</v>
      </c>
      <c r="S7" s="494" t="s">
        <v>33</v>
      </c>
      <c r="T7" s="490" t="s">
        <v>773</v>
      </c>
      <c r="U7" s="529" t="s">
        <v>33</v>
      </c>
      <c r="V7" s="543"/>
      <c r="W7" s="501"/>
      <c r="X7" s="501"/>
      <c r="Y7" s="501"/>
      <c r="Z7" s="501"/>
      <c r="AA7" s="532"/>
      <c r="AB7" s="507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</row>
    <row r="8" spans="1:65" ht="25.5" customHeight="1">
      <c r="A8" s="534"/>
      <c r="B8" s="536"/>
      <c r="C8" s="538"/>
      <c r="D8" s="538"/>
      <c r="E8" s="538"/>
      <c r="F8" s="538"/>
      <c r="G8" s="538"/>
      <c r="H8" s="538"/>
      <c r="I8" s="57" t="s">
        <v>17</v>
      </c>
      <c r="J8" s="57" t="s">
        <v>18</v>
      </c>
      <c r="K8" s="57" t="s">
        <v>16</v>
      </c>
      <c r="L8" s="60" t="s">
        <v>19</v>
      </c>
      <c r="M8" s="58" t="s">
        <v>20</v>
      </c>
      <c r="N8" s="57" t="s">
        <v>19</v>
      </c>
      <c r="O8" s="57" t="s">
        <v>21</v>
      </c>
      <c r="P8" s="57" t="s">
        <v>22</v>
      </c>
      <c r="Q8" s="531"/>
      <c r="R8" s="531"/>
      <c r="S8" s="531"/>
      <c r="T8" s="550"/>
      <c r="U8" s="530"/>
      <c r="V8" s="544"/>
      <c r="W8" s="531"/>
      <c r="X8" s="531"/>
      <c r="Y8" s="531"/>
      <c r="Z8" s="531"/>
      <c r="AA8" s="533"/>
      <c r="AB8" s="530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</row>
    <row r="9" spans="1:65" ht="12.75">
      <c r="A9" s="101" t="s">
        <v>48</v>
      </c>
      <c r="B9" s="99">
        <v>3291</v>
      </c>
      <c r="C9" s="79" t="s">
        <v>49</v>
      </c>
      <c r="D9" s="80">
        <v>10200201</v>
      </c>
      <c r="E9" s="79" t="s">
        <v>94</v>
      </c>
      <c r="F9" s="81" t="s">
        <v>75</v>
      </c>
      <c r="G9" s="80">
        <v>12</v>
      </c>
      <c r="H9" s="82" t="s">
        <v>100</v>
      </c>
      <c r="I9" s="83">
        <v>8888.8</v>
      </c>
      <c r="J9" s="86" t="s">
        <v>101</v>
      </c>
      <c r="K9" s="80">
        <v>0</v>
      </c>
      <c r="L9" s="97" t="s">
        <v>95</v>
      </c>
      <c r="M9" s="99">
        <v>12060</v>
      </c>
      <c r="N9" s="79" t="s">
        <v>8</v>
      </c>
      <c r="O9" s="80">
        <v>0.515</v>
      </c>
      <c r="P9" s="80">
        <v>0.1084</v>
      </c>
      <c r="Q9" s="79" t="s">
        <v>52</v>
      </c>
      <c r="R9" s="79" t="s">
        <v>99</v>
      </c>
      <c r="S9" s="80">
        <v>16</v>
      </c>
      <c r="T9" s="75"/>
      <c r="U9" s="88"/>
      <c r="V9" s="103">
        <v>99</v>
      </c>
      <c r="W9" s="84">
        <f>39*O9*I9/2000</f>
        <v>89.265774</v>
      </c>
      <c r="X9" s="80">
        <v>0</v>
      </c>
      <c r="Y9" s="80">
        <v>3</v>
      </c>
      <c r="Z9" s="80">
        <v>21.06</v>
      </c>
      <c r="AA9" s="79" t="s">
        <v>630</v>
      </c>
      <c r="AB9" s="88" t="s">
        <v>127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</row>
    <row r="10" spans="1:65" s="9" customFormat="1" ht="12.75">
      <c r="A10" s="101" t="s">
        <v>48</v>
      </c>
      <c r="B10" s="99">
        <v>3724</v>
      </c>
      <c r="C10" s="79" t="s">
        <v>63</v>
      </c>
      <c r="D10" s="80">
        <v>10200501</v>
      </c>
      <c r="E10" s="79" t="s">
        <v>96</v>
      </c>
      <c r="F10" s="85" t="s">
        <v>75</v>
      </c>
      <c r="G10" s="80">
        <v>0</v>
      </c>
      <c r="H10" s="86" t="s">
        <v>83</v>
      </c>
      <c r="I10" s="87">
        <v>4126</v>
      </c>
      <c r="J10" s="86" t="s">
        <v>128</v>
      </c>
      <c r="K10" s="80">
        <v>0</v>
      </c>
      <c r="L10" s="97" t="s">
        <v>95</v>
      </c>
      <c r="M10" s="99">
        <v>142496</v>
      </c>
      <c r="N10" s="79" t="s">
        <v>820</v>
      </c>
      <c r="O10" s="80">
        <v>0</v>
      </c>
      <c r="P10" s="80">
        <v>0</v>
      </c>
      <c r="Q10" s="79" t="s">
        <v>52</v>
      </c>
      <c r="R10" s="79"/>
      <c r="S10" s="79"/>
      <c r="T10" s="79"/>
      <c r="U10" s="97"/>
      <c r="V10" s="101"/>
      <c r="W10" s="84">
        <f>D18*Z10/2000</f>
        <v>0.08525108191999999</v>
      </c>
      <c r="X10" s="80">
        <v>0</v>
      </c>
      <c r="Y10" s="80">
        <v>3</v>
      </c>
      <c r="Z10" s="80">
        <v>0.29</v>
      </c>
      <c r="AA10" s="79" t="s">
        <v>603</v>
      </c>
      <c r="AB10" s="89" t="s">
        <v>129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</row>
    <row r="11" spans="1:65" s="9" customFormat="1" ht="13.5" thickBot="1">
      <c r="A11" s="102" t="s">
        <v>97</v>
      </c>
      <c r="B11" s="100">
        <v>8272</v>
      </c>
      <c r="C11" s="91" t="s">
        <v>49</v>
      </c>
      <c r="D11" s="90">
        <v>20200102</v>
      </c>
      <c r="E11" s="91" t="s">
        <v>98</v>
      </c>
      <c r="F11" s="92" t="s">
        <v>75</v>
      </c>
      <c r="G11" s="90">
        <v>0</v>
      </c>
      <c r="H11" s="93" t="s">
        <v>83</v>
      </c>
      <c r="I11" s="94">
        <v>3103</v>
      </c>
      <c r="J11" s="93" t="s">
        <v>88</v>
      </c>
      <c r="K11" s="90">
        <v>0</v>
      </c>
      <c r="L11" s="98" t="s">
        <v>95</v>
      </c>
      <c r="M11" s="100">
        <v>0</v>
      </c>
      <c r="N11" s="91" t="s">
        <v>95</v>
      </c>
      <c r="O11" s="90">
        <v>0</v>
      </c>
      <c r="P11" s="90">
        <v>0</v>
      </c>
      <c r="Q11" s="91" t="s">
        <v>52</v>
      </c>
      <c r="R11" s="91"/>
      <c r="S11" s="91"/>
      <c r="T11" s="91"/>
      <c r="U11" s="98"/>
      <c r="V11" s="102"/>
      <c r="W11" s="95">
        <f>(Z11*I11)/2000</f>
        <v>0.27926999999999996</v>
      </c>
      <c r="X11" s="90">
        <v>0</v>
      </c>
      <c r="Y11" s="90">
        <v>3</v>
      </c>
      <c r="Z11" s="90">
        <v>0.18</v>
      </c>
      <c r="AA11" s="91" t="s">
        <v>771</v>
      </c>
      <c r="AB11" s="96" t="s">
        <v>138</v>
      </c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</row>
    <row r="12" spans="1:65" s="9" customFormat="1" ht="13.5" thickBot="1">
      <c r="A12" s="64"/>
      <c r="B12" s="64"/>
      <c r="C12" s="64"/>
      <c r="D12" s="64"/>
      <c r="E12" s="64"/>
      <c r="F12" s="76"/>
      <c r="G12" s="64"/>
      <c r="H12" s="64"/>
      <c r="I12" s="64"/>
      <c r="J12" s="64"/>
      <c r="K12" s="64"/>
      <c r="L12" s="64"/>
      <c r="M12" s="64"/>
      <c r="N12" s="76"/>
      <c r="O12" s="64"/>
      <c r="P12" s="64"/>
      <c r="Q12" s="64"/>
      <c r="R12" s="64"/>
      <c r="S12" s="64"/>
      <c r="T12" s="64"/>
      <c r="U12" s="64"/>
      <c r="V12" s="442" t="s">
        <v>79</v>
      </c>
      <c r="W12" s="444">
        <f>SUM(W9:W11)</f>
        <v>89.63029508192</v>
      </c>
      <c r="X12" s="18"/>
      <c r="Y12" s="64"/>
      <c r="Z12" s="64"/>
      <c r="AA12" s="64"/>
      <c r="AB12" s="76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</row>
    <row r="13" spans="3:65" s="9" customFormat="1" ht="13.5" thickTop="1">
      <c r="C13" s="64" t="s">
        <v>119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</row>
    <row r="14" spans="3:65" s="9" customFormat="1" ht="12.75">
      <c r="C14" s="68" t="s">
        <v>45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</row>
    <row r="15" spans="3:65" s="9" customFormat="1" ht="12.75">
      <c r="C15" s="64" t="s">
        <v>117</v>
      </c>
      <c r="D15" s="64" t="s">
        <v>118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</row>
    <row r="16" spans="3:65" s="9" customFormat="1" ht="12.75">
      <c r="C16" s="64" t="s">
        <v>123</v>
      </c>
      <c r="D16" s="64" t="s">
        <v>775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</row>
    <row r="17" spans="3:65" s="9" customFormat="1" ht="12.75">
      <c r="C17" s="64"/>
      <c r="D17" s="64">
        <f>4126*142496</f>
        <v>587938496</v>
      </c>
      <c r="E17" s="64" t="s">
        <v>130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</row>
    <row r="18" spans="3:65" s="9" customFormat="1" ht="12.75">
      <c r="C18" s="64"/>
      <c r="D18" s="64">
        <v>587.938496</v>
      </c>
      <c r="E18" s="64" t="s">
        <v>131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</row>
    <row r="19" spans="1:65" s="9" customFormat="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</row>
    <row r="20" spans="1:65" s="9" customFormat="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</row>
    <row r="21" spans="1:65" s="9" customFormat="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</row>
    <row r="22" spans="1:65" s="9" customFormat="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</row>
    <row r="23" spans="1:65" s="9" customFormat="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</row>
    <row r="24" spans="1:65" s="9" customFormat="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</row>
    <row r="25" spans="1:65" s="9" customFormat="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</row>
    <row r="26" spans="1:65" s="9" customFormat="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</row>
    <row r="27" spans="1:65" s="9" customFormat="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</row>
    <row r="28" spans="1:3" s="9" customFormat="1" ht="12.75">
      <c r="A28"/>
      <c r="B28"/>
      <c r="C28"/>
    </row>
    <row r="29" spans="1:3" s="9" customFormat="1" ht="12.75">
      <c r="A29"/>
      <c r="B29"/>
      <c r="C29"/>
    </row>
    <row r="30" spans="1:3" s="9" customFormat="1" ht="12.75">
      <c r="A30"/>
      <c r="B30"/>
      <c r="C30"/>
    </row>
    <row r="31" spans="1:3" s="9" customFormat="1" ht="12.75">
      <c r="A31"/>
      <c r="B31"/>
      <c r="C31"/>
    </row>
    <row r="32" spans="1:3" s="9" customFormat="1" ht="12.75">
      <c r="A32"/>
      <c r="B32"/>
      <c r="C32"/>
    </row>
    <row r="33" spans="1:3" s="9" customFormat="1" ht="12.75">
      <c r="A33"/>
      <c r="B33"/>
      <c r="C33"/>
    </row>
  </sheetData>
  <mergeCells count="24">
    <mergeCell ref="H6:H8"/>
    <mergeCell ref="I6:L7"/>
    <mergeCell ref="M6:P7"/>
    <mergeCell ref="T7:T8"/>
    <mergeCell ref="D6:D8"/>
    <mergeCell ref="E6:E8"/>
    <mergeCell ref="F6:F8"/>
    <mergeCell ref="G6:G8"/>
    <mergeCell ref="A6:A8"/>
    <mergeCell ref="B6:B8"/>
    <mergeCell ref="C6:C8"/>
    <mergeCell ref="W6:W8"/>
    <mergeCell ref="Q7:Q8"/>
    <mergeCell ref="R7:R8"/>
    <mergeCell ref="S7:S8"/>
    <mergeCell ref="R6:S6"/>
    <mergeCell ref="T6:U6"/>
    <mergeCell ref="V6:V8"/>
    <mergeCell ref="U7:U8"/>
    <mergeCell ref="AB6:AB8"/>
    <mergeCell ref="X6:X8"/>
    <mergeCell ref="Y6:Y8"/>
    <mergeCell ref="Z6:Z8"/>
    <mergeCell ref="AA6:AA8"/>
  </mergeCells>
  <printOptions/>
  <pageMargins left="0.75" right="0.75" top="1.7" bottom="1" header="0.5" footer="0.5"/>
  <pageSetup horizontalDpi="600" verticalDpi="600" orientation="landscape" r:id="rId1"/>
  <headerFooter alignWithMargins="0">
    <oddHeader>&amp;L
Brigham Young University
Site Name:  Main Campus
Site ID:  10790&amp;C&amp;"Arial,Bold"Regional Haze
&amp;"Arial,Regular"1996 Statewide SOx Sources</oddHeader>
    <oddFooter>&amp;R&amp;D
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N31"/>
  <sheetViews>
    <sheetView tabSelected="1" workbookViewId="0" topLeftCell="A1">
      <pane xSplit="11610" topLeftCell="X1" activePane="topLeft" state="split"/>
      <selection pane="topLeft" activeCell="A1" sqref="A1"/>
      <selection pane="topRight" activeCell="X1" sqref="X1"/>
    </sheetView>
  </sheetViews>
  <sheetFormatPr defaultColWidth="9.140625" defaultRowHeight="12.75"/>
  <cols>
    <col min="1" max="1" width="7.57421875" style="0" customWidth="1"/>
    <col min="2" max="2" width="6.28125" style="0" customWidth="1"/>
    <col min="3" max="3" width="7.57421875" style="0" customWidth="1"/>
    <col min="4" max="4" width="9.421875" style="0" customWidth="1"/>
    <col min="5" max="5" width="27.140625" style="0" customWidth="1"/>
    <col min="6" max="6" width="5.421875" style="0" customWidth="1"/>
    <col min="7" max="7" width="10.8515625" style="0" customWidth="1"/>
    <col min="8" max="8" width="11.421875" style="0" customWidth="1"/>
    <col min="9" max="9" width="8.28125" style="0" customWidth="1"/>
    <col min="10" max="10" width="8.8515625" style="0" customWidth="1"/>
    <col min="11" max="11" width="6.8515625" style="0" customWidth="1"/>
    <col min="12" max="12" width="6.421875" style="0" customWidth="1"/>
    <col min="13" max="13" width="8.421875" style="0" customWidth="1"/>
    <col min="14" max="14" width="7.140625" style="0" customWidth="1"/>
    <col min="15" max="15" width="7.7109375" style="0" customWidth="1"/>
    <col min="16" max="16" width="6.421875" style="0" customWidth="1"/>
    <col min="18" max="18" width="16.28125" style="0" customWidth="1"/>
    <col min="20" max="20" width="10.57421875" style="0" customWidth="1"/>
    <col min="22" max="22" width="9.7109375" style="0" customWidth="1"/>
    <col min="23" max="23" width="2.7109375" style="0" customWidth="1"/>
    <col min="24" max="24" width="8.8515625" style="0" customWidth="1"/>
    <col min="25" max="25" width="11.57421875" style="0" customWidth="1"/>
    <col min="26" max="26" width="8.421875" style="0" customWidth="1"/>
    <col min="27" max="27" width="12.421875" style="0" customWidth="1"/>
    <col min="28" max="28" width="10.57421875" style="0" customWidth="1"/>
    <col min="29" max="29" width="29.7109375" style="0" customWidth="1"/>
  </cols>
  <sheetData>
    <row r="1" spans="1:5" ht="15.75">
      <c r="A1" s="14" t="s">
        <v>1</v>
      </c>
      <c r="B1" s="14"/>
      <c r="C1" s="54" t="s">
        <v>710</v>
      </c>
      <c r="E1" s="4" t="s">
        <v>44</v>
      </c>
    </row>
    <row r="2" spans="1:5" ht="15">
      <c r="A2" s="14"/>
      <c r="B2" s="14"/>
      <c r="E2" s="5" t="s">
        <v>666</v>
      </c>
    </row>
    <row r="3" spans="1:3" ht="12.75">
      <c r="A3" s="14" t="s">
        <v>13</v>
      </c>
      <c r="B3" s="14" t="s">
        <v>14</v>
      </c>
      <c r="C3" s="54" t="s">
        <v>503</v>
      </c>
    </row>
    <row r="4" spans="1:2" ht="12.75">
      <c r="A4" s="53">
        <v>10034</v>
      </c>
      <c r="B4" s="14"/>
    </row>
    <row r="5" ht="13.5" thickBot="1"/>
    <row r="6" spans="1:66" ht="16.5" customHeight="1">
      <c r="A6" s="549" t="s">
        <v>43</v>
      </c>
      <c r="B6" s="503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611" t="s">
        <v>286</v>
      </c>
      <c r="X6" s="564"/>
      <c r="Y6" s="515" t="s">
        <v>774</v>
      </c>
      <c r="Z6" s="503" t="s">
        <v>36</v>
      </c>
      <c r="AA6" s="503" t="s">
        <v>37</v>
      </c>
      <c r="AB6" s="503" t="s">
        <v>38</v>
      </c>
      <c r="AC6" s="573" t="s">
        <v>39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81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813</v>
      </c>
      <c r="U7" s="528" t="s">
        <v>33</v>
      </c>
      <c r="V7" s="528"/>
      <c r="W7" s="554"/>
      <c r="X7" s="619"/>
      <c r="Y7" s="575"/>
      <c r="Z7" s="528"/>
      <c r="AA7" s="528"/>
      <c r="AB7" s="572"/>
      <c r="AC7" s="574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90"/>
      <c r="B8" s="591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282" t="s">
        <v>20</v>
      </c>
      <c r="N8" s="59" t="s">
        <v>19</v>
      </c>
      <c r="O8" s="59" t="s">
        <v>21</v>
      </c>
      <c r="P8" s="59" t="s">
        <v>22</v>
      </c>
      <c r="Q8" s="586"/>
      <c r="R8" s="490"/>
      <c r="S8" s="490"/>
      <c r="T8" s="586"/>
      <c r="U8" s="490"/>
      <c r="V8" s="490"/>
      <c r="W8" s="620"/>
      <c r="X8" s="621"/>
      <c r="Y8" s="603"/>
      <c r="Z8" s="490"/>
      <c r="AA8" s="490"/>
      <c r="AB8" s="586"/>
      <c r="AC8" s="587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31" ht="12.75">
      <c r="A9" s="485" t="s">
        <v>173</v>
      </c>
      <c r="B9" s="429">
        <v>5538</v>
      </c>
      <c r="C9" s="430" t="s">
        <v>711</v>
      </c>
      <c r="D9" s="429">
        <v>30600904</v>
      </c>
      <c r="E9" s="430" t="s">
        <v>712</v>
      </c>
      <c r="F9" s="429" t="s">
        <v>76</v>
      </c>
      <c r="G9" s="429">
        <v>3004</v>
      </c>
      <c r="H9" s="430" t="s">
        <v>95</v>
      </c>
      <c r="I9" s="429">
        <v>742.02</v>
      </c>
      <c r="J9" s="429" t="s">
        <v>85</v>
      </c>
      <c r="K9" s="273"/>
      <c r="L9" s="431" t="s">
        <v>51</v>
      </c>
      <c r="M9" s="441"/>
      <c r="N9" s="429">
        <v>0</v>
      </c>
      <c r="O9" s="429">
        <v>0</v>
      </c>
      <c r="P9" s="429">
        <v>0</v>
      </c>
      <c r="Q9" s="430" t="s">
        <v>52</v>
      </c>
      <c r="R9" s="273"/>
      <c r="S9" s="430"/>
      <c r="T9" s="430"/>
      <c r="U9" s="430"/>
      <c r="V9" s="430"/>
      <c r="W9" s="430" t="s">
        <v>454</v>
      </c>
      <c r="X9" s="436">
        <v>20</v>
      </c>
      <c r="Y9" s="281"/>
      <c r="Z9" s="429">
        <v>2</v>
      </c>
      <c r="AA9" s="429" t="s">
        <v>756</v>
      </c>
      <c r="AB9" s="429"/>
      <c r="AC9" s="431" t="s">
        <v>757</v>
      </c>
      <c r="AD9" s="426"/>
      <c r="AE9" s="53"/>
    </row>
    <row r="10" spans="1:31" ht="12.75">
      <c r="A10" s="486" t="s">
        <v>173</v>
      </c>
      <c r="B10" s="428">
        <v>5539</v>
      </c>
      <c r="C10" s="427" t="s">
        <v>713</v>
      </c>
      <c r="D10" s="428">
        <v>30609904</v>
      </c>
      <c r="E10" s="427" t="s">
        <v>714</v>
      </c>
      <c r="F10" s="428" t="s">
        <v>76</v>
      </c>
      <c r="G10" s="428">
        <v>3005</v>
      </c>
      <c r="H10" s="427" t="s">
        <v>95</v>
      </c>
      <c r="I10" s="428">
        <v>4838.21</v>
      </c>
      <c r="J10" s="428" t="s">
        <v>85</v>
      </c>
      <c r="K10" s="75"/>
      <c r="L10" s="432" t="s">
        <v>51</v>
      </c>
      <c r="M10" s="439"/>
      <c r="N10" s="428">
        <v>0</v>
      </c>
      <c r="O10" s="428">
        <v>0</v>
      </c>
      <c r="P10" s="428">
        <v>0</v>
      </c>
      <c r="Q10" s="427" t="s">
        <v>52</v>
      </c>
      <c r="R10" s="75" t="s">
        <v>758</v>
      </c>
      <c r="S10" s="427">
        <v>45</v>
      </c>
      <c r="T10" s="427"/>
      <c r="U10" s="427"/>
      <c r="V10" s="427">
        <v>94</v>
      </c>
      <c r="W10" s="427"/>
      <c r="X10" s="437">
        <v>1370</v>
      </c>
      <c r="Y10" s="439"/>
      <c r="Z10" s="428">
        <v>10</v>
      </c>
      <c r="AA10" s="428" t="s">
        <v>51</v>
      </c>
      <c r="AB10" s="428"/>
      <c r="AC10" s="432" t="s">
        <v>195</v>
      </c>
      <c r="AD10" s="426"/>
      <c r="AE10" s="53"/>
    </row>
    <row r="11" spans="1:31" ht="13.5" thickBot="1">
      <c r="A11" s="487" t="s">
        <v>173</v>
      </c>
      <c r="B11" s="433">
        <v>5677</v>
      </c>
      <c r="C11" s="434" t="s">
        <v>55</v>
      </c>
      <c r="D11" s="433">
        <v>10200603</v>
      </c>
      <c r="E11" s="434" t="s">
        <v>715</v>
      </c>
      <c r="F11" s="433" t="s">
        <v>75</v>
      </c>
      <c r="G11" s="433" t="s">
        <v>51</v>
      </c>
      <c r="H11" s="434" t="s">
        <v>177</v>
      </c>
      <c r="I11" s="433">
        <v>16.3</v>
      </c>
      <c r="J11" s="433" t="s">
        <v>85</v>
      </c>
      <c r="K11" s="252"/>
      <c r="L11" s="435" t="s">
        <v>51</v>
      </c>
      <c r="M11" s="440">
        <v>0</v>
      </c>
      <c r="N11" s="433">
        <v>1000</v>
      </c>
      <c r="O11" s="433" t="s">
        <v>759</v>
      </c>
      <c r="P11" s="433">
        <v>0</v>
      </c>
      <c r="Q11" s="434" t="s">
        <v>52</v>
      </c>
      <c r="R11" s="252"/>
      <c r="S11" s="434"/>
      <c r="T11" s="434"/>
      <c r="U11" s="434"/>
      <c r="V11" s="434"/>
      <c r="W11" s="434"/>
      <c r="X11" s="438">
        <f>AA11*I11/2000</f>
        <v>0.815</v>
      </c>
      <c r="Y11" s="440" t="s">
        <v>51</v>
      </c>
      <c r="Z11" s="433">
        <v>2</v>
      </c>
      <c r="AA11" s="433">
        <v>100</v>
      </c>
      <c r="AB11" s="433" t="s">
        <v>86</v>
      </c>
      <c r="AC11" s="435" t="s">
        <v>581</v>
      </c>
      <c r="AD11" s="426"/>
      <c r="AE11" s="53"/>
    </row>
    <row r="12" spans="22:24" ht="13.5" thickBot="1">
      <c r="V12" s="445" t="s">
        <v>79</v>
      </c>
      <c r="W12" s="445"/>
      <c r="X12" s="445">
        <f>SUM(X9:X11)</f>
        <v>1390.815</v>
      </c>
    </row>
    <row r="13" ht="13.5" thickTop="1">
      <c r="C13" t="s">
        <v>761</v>
      </c>
    </row>
    <row r="15" ht="12.75">
      <c r="C15" s="14" t="s">
        <v>653</v>
      </c>
    </row>
    <row r="16" ht="12.75">
      <c r="C16">
        <v>5538</v>
      </c>
    </row>
    <row r="17" ht="12.75">
      <c r="D17" t="s">
        <v>743</v>
      </c>
    </row>
    <row r="18" ht="12.75">
      <c r="D18" t="s">
        <v>819</v>
      </c>
    </row>
    <row r="19" ht="12.75">
      <c r="D19" t="s">
        <v>744</v>
      </c>
    </row>
    <row r="20" ht="12.75">
      <c r="D20" t="s">
        <v>745</v>
      </c>
    </row>
    <row r="21" ht="12.75">
      <c r="D21" t="s">
        <v>746</v>
      </c>
    </row>
    <row r="22" ht="12.75">
      <c r="D22" t="s">
        <v>747</v>
      </c>
    </row>
    <row r="23" ht="12.75">
      <c r="D23" t="s">
        <v>748</v>
      </c>
    </row>
    <row r="24" ht="12.75">
      <c r="D24" t="s">
        <v>749</v>
      </c>
    </row>
    <row r="26" spans="4:10" ht="12.75">
      <c r="D26" t="s">
        <v>750</v>
      </c>
      <c r="J26" t="s">
        <v>755</v>
      </c>
    </row>
    <row r="27" spans="4:10" ht="12.75">
      <c r="D27" t="s">
        <v>751</v>
      </c>
      <c r="J27" t="s">
        <v>752</v>
      </c>
    </row>
    <row r="28" spans="7:10" ht="12.75">
      <c r="G28" t="s">
        <v>753</v>
      </c>
      <c r="J28" t="s">
        <v>754</v>
      </c>
    </row>
    <row r="30" ht="12.75">
      <c r="C30">
        <v>5677</v>
      </c>
    </row>
    <row r="31" ht="12.75">
      <c r="D31" t="s">
        <v>760</v>
      </c>
    </row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Y6:Y8"/>
    <mergeCell ref="T6:U6"/>
    <mergeCell ref="V6:V8"/>
    <mergeCell ref="U7:U8"/>
    <mergeCell ref="T7:T8"/>
    <mergeCell ref="W6:X8"/>
    <mergeCell ref="Z6:Z8"/>
    <mergeCell ref="AA6:AA8"/>
    <mergeCell ref="AB6:AB8"/>
    <mergeCell ref="AC6:AC8"/>
  </mergeCells>
  <printOptions/>
  <pageMargins left="0.76" right="0.78" top="1.6" bottom="1" header="0.5" footer="0.5"/>
  <pageSetup horizontalDpi="600" verticalDpi="600" orientation="landscape" r:id="rId1"/>
  <headerFooter alignWithMargins="0">
    <oddHeader>&amp;L
Tom Brown Inc.
Site Name:  Lisbon Plant-Hook &amp; Ladder
Site ID:  10034
&amp;CRegional Haze
1996 Statewide SOx Sources</oddHeader>
    <oddFooter>&amp;R&amp;D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L30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4" width="8.7109375" style="0" customWidth="1"/>
    <col min="5" max="5" width="25.00390625" style="0" customWidth="1"/>
    <col min="7" max="7" width="10.421875" style="0" customWidth="1"/>
    <col min="8" max="8" width="11.421875" style="0" customWidth="1"/>
    <col min="10" max="10" width="10.140625" style="0" customWidth="1"/>
    <col min="11" max="11" width="6.7109375" style="0" customWidth="1"/>
    <col min="12" max="12" width="6.140625" style="0" customWidth="1"/>
    <col min="14" max="14" width="6.7109375" style="0" customWidth="1"/>
    <col min="15" max="15" width="6.421875" style="0" customWidth="1"/>
    <col min="16" max="16" width="5.421875" style="0" customWidth="1"/>
    <col min="18" max="18" width="15.8515625" style="0" customWidth="1"/>
    <col min="20" max="20" width="18.7109375" style="0" customWidth="1"/>
    <col min="22" max="22" width="9.7109375" style="0" customWidth="1"/>
    <col min="23" max="23" width="10.7109375" style="0" customWidth="1"/>
    <col min="24" max="24" width="11.7109375" style="0" customWidth="1"/>
    <col min="25" max="25" width="8.7109375" style="0" customWidth="1"/>
    <col min="27" max="27" width="10.140625" style="0" customWidth="1"/>
    <col min="28" max="28" width="15.7109375" style="0" customWidth="1"/>
    <col min="29" max="29" width="29.140625" style="0" customWidth="1"/>
  </cols>
  <sheetData>
    <row r="1" spans="1:5" ht="15.75">
      <c r="A1" s="21" t="s">
        <v>102</v>
      </c>
      <c r="B1" s="14"/>
      <c r="E1" s="4" t="s">
        <v>44</v>
      </c>
    </row>
    <row r="2" spans="1:5" ht="15">
      <c r="A2" s="14"/>
      <c r="B2" s="14"/>
      <c r="E2" s="5" t="s">
        <v>199</v>
      </c>
    </row>
    <row r="3" spans="1:3" ht="12.75">
      <c r="A3" s="14" t="s">
        <v>13</v>
      </c>
      <c r="B3" s="14" t="s">
        <v>14</v>
      </c>
      <c r="C3" s="21" t="s">
        <v>103</v>
      </c>
    </row>
    <row r="4" spans="1:2" ht="12.75">
      <c r="A4" s="20">
        <v>10311</v>
      </c>
      <c r="B4" s="14"/>
    </row>
    <row r="5" spans="1:116" ht="13.5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</row>
    <row r="6" spans="1:116" ht="16.5" customHeight="1">
      <c r="A6" s="553" t="s">
        <v>43</v>
      </c>
      <c r="B6" s="556" t="s">
        <v>29</v>
      </c>
      <c r="C6" s="517" t="s">
        <v>776</v>
      </c>
      <c r="D6" s="561" t="s">
        <v>27</v>
      </c>
      <c r="E6" s="561" t="s">
        <v>26</v>
      </c>
      <c r="F6" s="561" t="s">
        <v>23</v>
      </c>
      <c r="G6" s="561" t="s">
        <v>24</v>
      </c>
      <c r="H6" s="561" t="s">
        <v>25</v>
      </c>
      <c r="I6" s="562" t="s">
        <v>451</v>
      </c>
      <c r="J6" s="563"/>
      <c r="K6" s="563"/>
      <c r="L6" s="564"/>
      <c r="M6" s="566" t="s">
        <v>15</v>
      </c>
      <c r="N6" s="563"/>
      <c r="O6" s="563"/>
      <c r="P6" s="563"/>
      <c r="Q6" s="567" t="s">
        <v>32</v>
      </c>
      <c r="R6" s="539" t="s">
        <v>30</v>
      </c>
      <c r="S6" s="540"/>
      <c r="T6" s="539" t="s">
        <v>31</v>
      </c>
      <c r="U6" s="540"/>
      <c r="V6" s="500" t="s">
        <v>40</v>
      </c>
      <c r="W6" s="506" t="s">
        <v>286</v>
      </c>
      <c r="X6" s="551" t="s">
        <v>34</v>
      </c>
      <c r="Y6" s="500" t="s">
        <v>36</v>
      </c>
      <c r="Z6" s="500" t="s">
        <v>37</v>
      </c>
      <c r="AA6" s="500" t="s">
        <v>38</v>
      </c>
      <c r="AB6" s="506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</row>
    <row r="7" spans="1:116" s="1" customFormat="1" ht="24.75" customHeight="1">
      <c r="A7" s="554"/>
      <c r="B7" s="557"/>
      <c r="C7" s="559"/>
      <c r="D7" s="559"/>
      <c r="E7" s="559"/>
      <c r="F7" s="559"/>
      <c r="G7" s="559"/>
      <c r="H7" s="559"/>
      <c r="I7" s="560"/>
      <c r="J7" s="560"/>
      <c r="K7" s="560"/>
      <c r="L7" s="565"/>
      <c r="M7" s="558"/>
      <c r="N7" s="560"/>
      <c r="O7" s="560"/>
      <c r="P7" s="560"/>
      <c r="Q7" s="568"/>
      <c r="R7" s="494" t="s">
        <v>41</v>
      </c>
      <c r="S7" s="494" t="s">
        <v>33</v>
      </c>
      <c r="T7" s="494" t="s">
        <v>42</v>
      </c>
      <c r="U7" s="494" t="s">
        <v>33</v>
      </c>
      <c r="V7" s="501"/>
      <c r="W7" s="507"/>
      <c r="X7" s="552"/>
      <c r="Y7" s="501"/>
      <c r="Z7" s="501"/>
      <c r="AA7" s="532"/>
      <c r="AB7" s="507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</row>
    <row r="8" spans="1:116" ht="25.5" customHeight="1">
      <c r="A8" s="555"/>
      <c r="B8" s="558"/>
      <c r="C8" s="560"/>
      <c r="D8" s="560"/>
      <c r="E8" s="560"/>
      <c r="F8" s="560"/>
      <c r="G8" s="560"/>
      <c r="H8" s="560"/>
      <c r="I8" s="2" t="s">
        <v>17</v>
      </c>
      <c r="J8" s="2" t="s">
        <v>18</v>
      </c>
      <c r="K8" s="2" t="s">
        <v>16</v>
      </c>
      <c r="L8" s="3" t="s">
        <v>19</v>
      </c>
      <c r="M8" s="120" t="s">
        <v>20</v>
      </c>
      <c r="N8" s="2" t="s">
        <v>19</v>
      </c>
      <c r="O8" s="2" t="s">
        <v>21</v>
      </c>
      <c r="P8" s="2" t="s">
        <v>22</v>
      </c>
      <c r="Q8" s="569"/>
      <c r="R8" s="501"/>
      <c r="S8" s="501"/>
      <c r="T8" s="532"/>
      <c r="U8" s="501"/>
      <c r="V8" s="501"/>
      <c r="W8" s="507"/>
      <c r="X8" s="552"/>
      <c r="Y8" s="501"/>
      <c r="Z8" s="501"/>
      <c r="AA8" s="532"/>
      <c r="AB8" s="50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</row>
    <row r="9" spans="1:116" ht="12.75">
      <c r="A9" s="116" t="s">
        <v>48</v>
      </c>
      <c r="B9" s="118">
        <v>2336</v>
      </c>
      <c r="C9" s="106" t="s">
        <v>104</v>
      </c>
      <c r="D9" s="107">
        <v>30599999</v>
      </c>
      <c r="E9" s="106" t="s">
        <v>105</v>
      </c>
      <c r="F9" s="107" t="s">
        <v>75</v>
      </c>
      <c r="G9" s="107">
        <v>1657</v>
      </c>
      <c r="H9" s="106" t="s">
        <v>106</v>
      </c>
      <c r="I9" s="107">
        <v>21.624</v>
      </c>
      <c r="J9" s="106" t="s">
        <v>777</v>
      </c>
      <c r="K9" s="107">
        <v>432</v>
      </c>
      <c r="L9" s="111" t="s">
        <v>779</v>
      </c>
      <c r="M9" s="118">
        <v>0</v>
      </c>
      <c r="N9" s="106" t="s">
        <v>95</v>
      </c>
      <c r="O9" s="107" t="s">
        <v>51</v>
      </c>
      <c r="P9" s="107" t="s">
        <v>51</v>
      </c>
      <c r="Q9" s="108" t="s">
        <v>52</v>
      </c>
      <c r="R9" s="109" t="s">
        <v>116</v>
      </c>
      <c r="S9" s="110">
        <v>53</v>
      </c>
      <c r="T9" s="75"/>
      <c r="U9" s="75"/>
      <c r="V9" s="75"/>
      <c r="W9" s="121">
        <f>Z9*I9/2000</f>
        <v>0.01113636</v>
      </c>
      <c r="X9" s="118">
        <v>0</v>
      </c>
      <c r="Y9" s="107">
        <v>3</v>
      </c>
      <c r="Z9" s="107">
        <v>1.03</v>
      </c>
      <c r="AA9" s="106" t="s">
        <v>604</v>
      </c>
      <c r="AB9" s="111" t="s">
        <v>132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</row>
    <row r="10" spans="1:116" ht="12.75">
      <c r="A10" s="116" t="s">
        <v>48</v>
      </c>
      <c r="B10" s="118">
        <v>4237</v>
      </c>
      <c r="C10" s="106" t="s">
        <v>107</v>
      </c>
      <c r="D10" s="107">
        <v>30100308</v>
      </c>
      <c r="E10" s="106" t="s">
        <v>108</v>
      </c>
      <c r="F10" s="107" t="s">
        <v>75</v>
      </c>
      <c r="G10" s="107">
        <v>1648</v>
      </c>
      <c r="H10" s="106" t="s">
        <v>109</v>
      </c>
      <c r="I10" s="107">
        <v>20</v>
      </c>
      <c r="J10" s="106" t="s">
        <v>777</v>
      </c>
      <c r="K10" s="107" t="s">
        <v>51</v>
      </c>
      <c r="L10" s="111" t="s">
        <v>95</v>
      </c>
      <c r="M10" s="118">
        <v>150000</v>
      </c>
      <c r="N10" s="106" t="s">
        <v>84</v>
      </c>
      <c r="O10" s="107">
        <v>1.5</v>
      </c>
      <c r="P10" s="107">
        <v>0</v>
      </c>
      <c r="Q10" s="108" t="s">
        <v>52</v>
      </c>
      <c r="R10" s="106"/>
      <c r="S10" s="106"/>
      <c r="T10" s="106"/>
      <c r="U10" s="106"/>
      <c r="V10" s="106"/>
      <c r="W10" s="121">
        <f>Z10*I10/2000</f>
        <v>2.355</v>
      </c>
      <c r="X10" s="118">
        <v>0</v>
      </c>
      <c r="Y10" s="107">
        <v>3</v>
      </c>
      <c r="Z10" s="107">
        <v>235.5</v>
      </c>
      <c r="AA10" s="106" t="s">
        <v>604</v>
      </c>
      <c r="AB10" s="111" t="s">
        <v>133</v>
      </c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</row>
    <row r="11" spans="1:116" ht="12.75">
      <c r="A11" s="116" t="s">
        <v>48</v>
      </c>
      <c r="B11" s="118">
        <v>7275</v>
      </c>
      <c r="C11" s="106" t="s">
        <v>110</v>
      </c>
      <c r="D11" s="107">
        <v>30590001</v>
      </c>
      <c r="E11" s="106" t="s">
        <v>111</v>
      </c>
      <c r="F11" s="107" t="s">
        <v>75</v>
      </c>
      <c r="G11" s="107">
        <v>1649</v>
      </c>
      <c r="H11" s="75" t="s">
        <v>122</v>
      </c>
      <c r="I11" s="107">
        <v>1467.379</v>
      </c>
      <c r="J11" s="106" t="s">
        <v>777</v>
      </c>
      <c r="K11" s="107" t="s">
        <v>51</v>
      </c>
      <c r="L11" s="111" t="s">
        <v>95</v>
      </c>
      <c r="M11" s="118">
        <v>150000</v>
      </c>
      <c r="N11" s="106" t="s">
        <v>84</v>
      </c>
      <c r="O11" s="107">
        <v>1.5</v>
      </c>
      <c r="P11" s="107">
        <v>0</v>
      </c>
      <c r="Q11" s="108" t="s">
        <v>52</v>
      </c>
      <c r="R11" s="106"/>
      <c r="S11" s="106"/>
      <c r="T11" s="106"/>
      <c r="U11" s="106"/>
      <c r="V11" s="106"/>
      <c r="W11" s="121">
        <f>Z11*I11/2000</f>
        <v>172.78387725</v>
      </c>
      <c r="X11" s="118">
        <v>0</v>
      </c>
      <c r="Y11" s="107">
        <v>3</v>
      </c>
      <c r="Z11" s="107">
        <v>235.5</v>
      </c>
      <c r="AA11" s="106" t="s">
        <v>604</v>
      </c>
      <c r="AB11" s="111" t="s">
        <v>133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</row>
    <row r="12" spans="1:116" ht="12.75">
      <c r="A12" s="116" t="s">
        <v>97</v>
      </c>
      <c r="B12" s="118">
        <v>8002</v>
      </c>
      <c r="C12" s="106" t="s">
        <v>112</v>
      </c>
      <c r="D12" s="107">
        <v>28888801</v>
      </c>
      <c r="E12" s="106" t="s">
        <v>113</v>
      </c>
      <c r="F12" s="107" t="s">
        <v>75</v>
      </c>
      <c r="G12" s="107">
        <v>0</v>
      </c>
      <c r="H12" s="75" t="s">
        <v>123</v>
      </c>
      <c r="I12" s="107">
        <v>2100</v>
      </c>
      <c r="J12" s="106" t="s">
        <v>460</v>
      </c>
      <c r="K12" s="107">
        <v>0</v>
      </c>
      <c r="L12" s="111" t="s">
        <v>95</v>
      </c>
      <c r="M12" s="118">
        <v>0</v>
      </c>
      <c r="N12" s="106" t="s">
        <v>95</v>
      </c>
      <c r="O12" s="107">
        <v>0</v>
      </c>
      <c r="P12" s="107">
        <v>0</v>
      </c>
      <c r="Q12" s="108" t="s">
        <v>52</v>
      </c>
      <c r="R12" s="106"/>
      <c r="S12" s="106"/>
      <c r="T12" s="106"/>
      <c r="U12" s="106"/>
      <c r="V12" s="106"/>
      <c r="W12" s="121">
        <f>Z12*I12/2000</f>
        <v>0.1911</v>
      </c>
      <c r="X12" s="118">
        <v>0</v>
      </c>
      <c r="Y12" s="107">
        <v>3</v>
      </c>
      <c r="Z12" s="107">
        <v>0.182</v>
      </c>
      <c r="AA12" s="106" t="s">
        <v>771</v>
      </c>
      <c r="AB12" s="111" t="s">
        <v>137</v>
      </c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</row>
    <row r="13" spans="1:116" ht="13.5" thickBot="1">
      <c r="A13" s="117" t="s">
        <v>48</v>
      </c>
      <c r="B13" s="119">
        <v>14692</v>
      </c>
      <c r="C13" s="112" t="s">
        <v>114</v>
      </c>
      <c r="D13" s="113">
        <v>30590001</v>
      </c>
      <c r="E13" s="112" t="s">
        <v>115</v>
      </c>
      <c r="F13" s="113" t="s">
        <v>75</v>
      </c>
      <c r="G13" s="113">
        <v>0</v>
      </c>
      <c r="H13" s="112" t="s">
        <v>121</v>
      </c>
      <c r="I13" s="113">
        <v>29653</v>
      </c>
      <c r="J13" s="112" t="s">
        <v>465</v>
      </c>
      <c r="K13" s="113">
        <v>0</v>
      </c>
      <c r="L13" s="115" t="s">
        <v>95</v>
      </c>
      <c r="M13" s="119">
        <v>0</v>
      </c>
      <c r="N13" s="112" t="s">
        <v>95</v>
      </c>
      <c r="O13" s="113">
        <v>0</v>
      </c>
      <c r="P13" s="113">
        <v>0</v>
      </c>
      <c r="Q13" s="114" t="s">
        <v>52</v>
      </c>
      <c r="R13" s="112"/>
      <c r="S13" s="112"/>
      <c r="T13" s="112"/>
      <c r="U13" s="112"/>
      <c r="V13" s="112"/>
      <c r="W13" s="122">
        <f>Z13*I13/2000</f>
        <v>0.015271295000000002</v>
      </c>
      <c r="X13" s="119">
        <v>0</v>
      </c>
      <c r="Y13" s="113">
        <v>3</v>
      </c>
      <c r="Z13" s="113">
        <v>0.00103</v>
      </c>
      <c r="AA13" s="112" t="s">
        <v>780</v>
      </c>
      <c r="AB13" s="115" t="s">
        <v>132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</row>
    <row r="14" spans="1:116" ht="13.5" thickBot="1">
      <c r="A14" s="74"/>
      <c r="B14" s="74"/>
      <c r="C14" s="74"/>
      <c r="D14" s="74"/>
      <c r="E14" s="74"/>
      <c r="F14" s="74"/>
      <c r="G14" s="74"/>
      <c r="H14" s="22" t="s">
        <v>51</v>
      </c>
      <c r="I14" s="74"/>
      <c r="J14" s="74"/>
      <c r="K14" s="74"/>
      <c r="L14" s="74"/>
      <c r="M14" s="74"/>
      <c r="N14" s="104"/>
      <c r="O14" s="74"/>
      <c r="P14" s="74"/>
      <c r="Q14" s="74"/>
      <c r="R14" s="74"/>
      <c r="S14" s="74"/>
      <c r="T14" s="74"/>
      <c r="U14" s="105"/>
      <c r="V14" s="445" t="s">
        <v>79</v>
      </c>
      <c r="W14" s="446">
        <f>SUM(W9:W13)</f>
        <v>175.356384905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</row>
    <row r="15" spans="1:116" ht="13.5" thickTop="1">
      <c r="A15" s="74"/>
      <c r="B15" s="74"/>
      <c r="C15" s="74"/>
      <c r="D15" s="74"/>
      <c r="E15" s="74"/>
      <c r="F15" s="74"/>
      <c r="G15" s="74"/>
      <c r="H15" s="22" t="s">
        <v>51</v>
      </c>
      <c r="I15" s="74"/>
      <c r="J15" s="74"/>
      <c r="K15" s="74"/>
      <c r="L15" s="74"/>
      <c r="M15" s="74"/>
      <c r="N15" s="10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</row>
    <row r="16" spans="3:116" s="9" customFormat="1" ht="12.75">
      <c r="C16" s="64" t="s">
        <v>821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</row>
    <row r="17" spans="3:116" s="9" customFormat="1" ht="12.75">
      <c r="C17" s="64" t="s">
        <v>781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</row>
    <row r="18" spans="3:116" s="9" customFormat="1" ht="12.75">
      <c r="C18" s="64" t="s">
        <v>782</v>
      </c>
      <c r="D18" s="64"/>
      <c r="E18" s="64"/>
      <c r="F18" s="64" t="s">
        <v>783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</row>
    <row r="19" spans="3:116" s="9" customFormat="1" ht="12.75">
      <c r="C19" s="64" t="s">
        <v>784</v>
      </c>
      <c r="D19" s="64"/>
      <c r="E19" s="64" t="s">
        <v>785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</row>
    <row r="20" spans="3:116" s="9" customFormat="1" ht="14.25">
      <c r="C20" s="64"/>
      <c r="D20" s="64"/>
      <c r="E20" s="64" t="s">
        <v>134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</row>
    <row r="21" spans="3:116" s="9" customFormat="1" ht="14.25">
      <c r="C21" s="64"/>
      <c r="D21" s="64"/>
      <c r="E21" s="64" t="s">
        <v>786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</row>
    <row r="22" spans="3:116" s="9" customFormat="1" ht="14.25">
      <c r="C22" s="64"/>
      <c r="D22" s="64"/>
      <c r="E22" s="64" t="s">
        <v>135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</row>
    <row r="23" spans="3:116" s="9" customFormat="1" ht="14.25">
      <c r="C23" s="64"/>
      <c r="D23" s="64"/>
      <c r="E23" s="64" t="s">
        <v>787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</row>
    <row r="24" spans="3:116" s="9" customFormat="1" ht="12.75">
      <c r="C24" s="64"/>
      <c r="D24" s="64"/>
      <c r="E24" s="64" t="s">
        <v>136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</row>
    <row r="25" spans="3:116" s="9" customFormat="1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</row>
    <row r="26" spans="1:116" s="9" customFormat="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</row>
    <row r="27" spans="1:116" s="9" customFormat="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</row>
    <row r="28" spans="1:59" s="9" customFormat="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1:59" s="9" customFormat="1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</row>
    <row r="30" spans="1:59" s="9" customFormat="1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</sheetData>
  <mergeCells count="24">
    <mergeCell ref="H6:H8"/>
    <mergeCell ref="I6:L7"/>
    <mergeCell ref="M6:P7"/>
    <mergeCell ref="Q6:Q8"/>
    <mergeCell ref="D6:D8"/>
    <mergeCell ref="E6:E8"/>
    <mergeCell ref="F6:F8"/>
    <mergeCell ref="G6:G8"/>
    <mergeCell ref="A6:A8"/>
    <mergeCell ref="B6:B8"/>
    <mergeCell ref="C6:C8"/>
    <mergeCell ref="W6:W8"/>
    <mergeCell ref="R7:R8"/>
    <mergeCell ref="S7:S8"/>
    <mergeCell ref="T7:T8"/>
    <mergeCell ref="R6:S6"/>
    <mergeCell ref="T6:U6"/>
    <mergeCell ref="V6:V8"/>
    <mergeCell ref="U7:U8"/>
    <mergeCell ref="AB6:AB8"/>
    <mergeCell ref="X6:X8"/>
    <mergeCell ref="Y6:Y8"/>
    <mergeCell ref="Z6:Z8"/>
    <mergeCell ref="AA6:AA8"/>
  </mergeCells>
  <printOptions/>
  <pageMargins left="0.75" right="0.75" top="1.52" bottom="1" header="0.39" footer="0.5"/>
  <pageSetup horizontalDpi="600" verticalDpi="600" orientation="landscape" r:id="rId1"/>
  <headerFooter alignWithMargins="0">
    <oddHeader>&amp;L
Brush Resources Incorporated
Site Name:  Delta Mill
Site ID:  10311&amp;CRegional Haze
1996 Statewide SOx Sources</oddHeader>
    <oddFooter>&amp;R&amp;D
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469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10.00390625" style="0" customWidth="1"/>
    <col min="4" max="4" width="8.8515625" style="0" customWidth="1"/>
    <col min="5" max="5" width="28.7109375" style="0" customWidth="1"/>
    <col min="6" max="6" width="8.421875" style="0" customWidth="1"/>
    <col min="7" max="7" width="10.8515625" style="0" customWidth="1"/>
    <col min="8" max="8" width="11.140625" style="0" customWidth="1"/>
    <col min="10" max="10" width="10.57421875" style="0" customWidth="1"/>
    <col min="11" max="11" width="8.140625" style="0" customWidth="1"/>
    <col min="12" max="12" width="8.7109375" style="0" customWidth="1"/>
    <col min="15" max="15" width="7.140625" style="0" customWidth="1"/>
    <col min="16" max="16" width="6.00390625" style="0" customWidth="1"/>
    <col min="17" max="17" width="9.00390625" style="0" customWidth="1"/>
    <col min="18" max="18" width="15.57421875" style="0" customWidth="1"/>
    <col min="20" max="20" width="21.00390625" style="0" customWidth="1"/>
    <col min="22" max="22" width="9.8515625" style="0" customWidth="1"/>
    <col min="23" max="23" width="9.7109375" style="23" customWidth="1"/>
    <col min="24" max="24" width="11.7109375" style="0" customWidth="1"/>
    <col min="26" max="26" width="9.421875" style="0" customWidth="1"/>
    <col min="28" max="28" width="73.8515625" style="0" customWidth="1"/>
    <col min="30" max="30" width="23.421875" style="0" customWidth="1"/>
  </cols>
  <sheetData>
    <row r="1" spans="1:5" ht="15.75">
      <c r="A1" s="14" t="s">
        <v>198</v>
      </c>
      <c r="B1" s="14"/>
      <c r="E1" s="4" t="s">
        <v>44</v>
      </c>
    </row>
    <row r="2" spans="1:5" ht="15">
      <c r="A2" s="14"/>
      <c r="B2" s="14"/>
      <c r="E2" s="5" t="s">
        <v>199</v>
      </c>
    </row>
    <row r="3" spans="1:3" ht="12.75">
      <c r="A3" s="14" t="s">
        <v>13</v>
      </c>
      <c r="B3" s="14" t="s">
        <v>14</v>
      </c>
      <c r="C3" t="s">
        <v>139</v>
      </c>
    </row>
    <row r="4" spans="1:2" ht="12.75">
      <c r="A4" s="14">
        <v>10119</v>
      </c>
      <c r="B4" s="14"/>
    </row>
    <row r="5" spans="1:66" ht="13.5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123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</row>
    <row r="6" spans="1:66" ht="16.5" customHeight="1">
      <c r="A6" s="512" t="s">
        <v>43</v>
      </c>
      <c r="B6" s="503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70" t="s">
        <v>286</v>
      </c>
      <c r="X6" s="515" t="s">
        <v>34</v>
      </c>
      <c r="Y6" s="503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71"/>
      <c r="X7" s="575"/>
      <c r="Y7" s="528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>
      <c r="A8" s="576"/>
      <c r="B8" s="577"/>
      <c r="C8" s="577"/>
      <c r="D8" s="577"/>
      <c r="E8" s="577"/>
      <c r="F8" s="577"/>
      <c r="G8" s="577"/>
      <c r="H8" s="577"/>
      <c r="I8" s="66" t="s">
        <v>17</v>
      </c>
      <c r="J8" s="66" t="s">
        <v>18</v>
      </c>
      <c r="K8" s="66" t="s">
        <v>16</v>
      </c>
      <c r="L8" s="150" t="s">
        <v>19</v>
      </c>
      <c r="M8" s="170" t="s">
        <v>20</v>
      </c>
      <c r="N8" s="66" t="s">
        <v>19</v>
      </c>
      <c r="O8" s="66" t="s">
        <v>21</v>
      </c>
      <c r="P8" s="66" t="s">
        <v>22</v>
      </c>
      <c r="Q8" s="572"/>
      <c r="R8" s="528"/>
      <c r="S8" s="528"/>
      <c r="T8" s="572"/>
      <c r="U8" s="528"/>
      <c r="V8" s="528"/>
      <c r="W8" s="571"/>
      <c r="X8" s="575"/>
      <c r="Y8" s="528"/>
      <c r="Z8" s="528"/>
      <c r="AA8" s="572"/>
      <c r="AB8" s="5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67" ht="12.75">
      <c r="A9" s="159" t="s">
        <v>48</v>
      </c>
      <c r="B9" s="129">
        <v>3874</v>
      </c>
      <c r="C9" s="128" t="s">
        <v>140</v>
      </c>
      <c r="D9" s="129">
        <v>10200701</v>
      </c>
      <c r="E9" s="128" t="s">
        <v>141</v>
      </c>
      <c r="F9" s="129" t="s">
        <v>75</v>
      </c>
      <c r="G9" s="129">
        <v>3084</v>
      </c>
      <c r="H9" s="128" t="s">
        <v>176</v>
      </c>
      <c r="I9" s="130">
        <v>396.427554794312</v>
      </c>
      <c r="J9" s="131" t="s">
        <v>788</v>
      </c>
      <c r="K9" s="129" t="s">
        <v>51</v>
      </c>
      <c r="L9" s="163">
        <v>0</v>
      </c>
      <c r="M9" s="174">
        <v>1189</v>
      </c>
      <c r="N9" s="131" t="s">
        <v>791</v>
      </c>
      <c r="O9" s="132">
        <v>0.00138</v>
      </c>
      <c r="P9" s="129" t="s">
        <v>51</v>
      </c>
      <c r="Q9" s="128" t="s">
        <v>52</v>
      </c>
      <c r="R9" s="128"/>
      <c r="S9" s="128"/>
      <c r="T9" s="128"/>
      <c r="U9" s="128"/>
      <c r="V9" s="128"/>
      <c r="W9" s="175">
        <f aca="true" t="shared" si="0" ref="W9:W28">Z9*I9/2000</f>
        <v>0.46190609022999524</v>
      </c>
      <c r="X9" s="171"/>
      <c r="Y9" s="133">
        <v>5</v>
      </c>
      <c r="Z9" s="134">
        <f>(13.8*32*2)/379</f>
        <v>2.3303430079155674</v>
      </c>
      <c r="AA9" s="135" t="s">
        <v>180</v>
      </c>
      <c r="AB9" s="151" t="s">
        <v>793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</row>
    <row r="10" spans="1:67" s="30" customFormat="1" ht="12.75">
      <c r="A10" s="160">
        <v>2</v>
      </c>
      <c r="B10" s="455">
        <v>3875</v>
      </c>
      <c r="C10" s="136" t="s">
        <v>183</v>
      </c>
      <c r="D10" s="129">
        <v>10200701</v>
      </c>
      <c r="E10" s="137" t="s">
        <v>182</v>
      </c>
      <c r="F10" s="129" t="s">
        <v>75</v>
      </c>
      <c r="G10" s="129">
        <v>3084</v>
      </c>
      <c r="H10" s="138" t="s">
        <v>122</v>
      </c>
      <c r="I10" s="139">
        <v>98.448</v>
      </c>
      <c r="J10" s="140" t="s">
        <v>89</v>
      </c>
      <c r="K10" s="140">
        <v>111.6</v>
      </c>
      <c r="L10" s="164" t="s">
        <v>629</v>
      </c>
      <c r="M10" s="176">
        <v>6000000</v>
      </c>
      <c r="N10" s="140" t="s">
        <v>792</v>
      </c>
      <c r="O10" s="141">
        <v>0.995</v>
      </c>
      <c r="P10" s="142"/>
      <c r="Q10" s="138" t="s">
        <v>52</v>
      </c>
      <c r="R10" s="142"/>
      <c r="S10" s="142"/>
      <c r="T10" s="142"/>
      <c r="U10" s="142"/>
      <c r="V10" s="142"/>
      <c r="W10" s="177">
        <f t="shared" si="0"/>
        <v>6.337097759999999</v>
      </c>
      <c r="X10" s="172"/>
      <c r="Y10" s="140">
        <v>3</v>
      </c>
      <c r="Z10" s="143">
        <f>157*(0.82)</f>
        <v>128.73999999999998</v>
      </c>
      <c r="AA10" s="140" t="s">
        <v>180</v>
      </c>
      <c r="AB10" s="152" t="s">
        <v>795</v>
      </c>
      <c r="AC10" s="27"/>
      <c r="AD10" s="28"/>
      <c r="AE10" s="25"/>
      <c r="AF10" s="27"/>
      <c r="AG10" s="28"/>
      <c r="AH10" s="25"/>
      <c r="AI10" s="26"/>
      <c r="AJ10" s="26"/>
      <c r="AK10" s="26"/>
      <c r="AL10" s="26"/>
      <c r="AM10" s="26"/>
      <c r="AN10" s="29"/>
      <c r="AO10" s="29"/>
      <c r="AP10" s="29"/>
      <c r="AQ10" s="29"/>
      <c r="AR10" s="29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</row>
    <row r="11" spans="1:67" ht="25.5">
      <c r="A11" s="159" t="s">
        <v>48</v>
      </c>
      <c r="B11" s="129">
        <v>3876</v>
      </c>
      <c r="C11" s="128" t="s">
        <v>142</v>
      </c>
      <c r="D11" s="129">
        <v>10200701</v>
      </c>
      <c r="E11" s="128" t="s">
        <v>143</v>
      </c>
      <c r="F11" s="129" t="s">
        <v>75</v>
      </c>
      <c r="G11" s="129">
        <v>3085</v>
      </c>
      <c r="H11" s="128" t="s">
        <v>176</v>
      </c>
      <c r="I11" s="130">
        <v>446.016557647705</v>
      </c>
      <c r="J11" s="131" t="s">
        <v>788</v>
      </c>
      <c r="K11" s="129" t="s">
        <v>51</v>
      </c>
      <c r="L11" s="163">
        <v>0</v>
      </c>
      <c r="M11" s="174">
        <v>1189</v>
      </c>
      <c r="N11" s="131" t="s">
        <v>791</v>
      </c>
      <c r="O11" s="132">
        <v>0.00138</v>
      </c>
      <c r="P11" s="129" t="s">
        <v>51</v>
      </c>
      <c r="Q11" s="128" t="s">
        <v>52</v>
      </c>
      <c r="R11" s="128"/>
      <c r="S11" s="128"/>
      <c r="T11" s="128"/>
      <c r="U11" s="128"/>
      <c r="V11" s="128"/>
      <c r="W11" s="175">
        <f t="shared" si="0"/>
        <v>0.5196092896595763</v>
      </c>
      <c r="X11" s="171"/>
      <c r="Y11" s="129">
        <v>5</v>
      </c>
      <c r="Z11" s="144">
        <v>2.33</v>
      </c>
      <c r="AA11" s="129" t="s">
        <v>180</v>
      </c>
      <c r="AB11" s="153" t="s">
        <v>793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</row>
    <row r="12" spans="1:67" ht="25.5">
      <c r="A12" s="159">
        <v>2</v>
      </c>
      <c r="B12" s="129">
        <v>3877</v>
      </c>
      <c r="C12" s="136" t="s">
        <v>185</v>
      </c>
      <c r="D12" s="129">
        <v>10200701</v>
      </c>
      <c r="E12" s="137" t="s">
        <v>184</v>
      </c>
      <c r="F12" s="129" t="s">
        <v>75</v>
      </c>
      <c r="G12" s="129">
        <v>3085</v>
      </c>
      <c r="H12" s="138" t="s">
        <v>122</v>
      </c>
      <c r="I12" s="146">
        <v>98.45</v>
      </c>
      <c r="J12" s="140" t="s">
        <v>89</v>
      </c>
      <c r="K12" s="129">
        <v>108</v>
      </c>
      <c r="L12" s="165" t="s">
        <v>629</v>
      </c>
      <c r="M12" s="174">
        <v>6000000</v>
      </c>
      <c r="N12" s="131" t="s">
        <v>792</v>
      </c>
      <c r="O12" s="132">
        <v>0.995</v>
      </c>
      <c r="P12" s="129"/>
      <c r="Q12" s="128" t="s">
        <v>52</v>
      </c>
      <c r="R12" s="128"/>
      <c r="S12" s="128"/>
      <c r="T12" s="128"/>
      <c r="U12" s="128"/>
      <c r="V12" s="128"/>
      <c r="W12" s="175">
        <f t="shared" si="0"/>
        <v>6.337226500000001</v>
      </c>
      <c r="X12" s="171"/>
      <c r="Y12" s="129">
        <v>3</v>
      </c>
      <c r="Z12" s="144">
        <v>128.74</v>
      </c>
      <c r="AA12" s="129" t="s">
        <v>180</v>
      </c>
      <c r="AB12" s="153" t="s">
        <v>796</v>
      </c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</row>
    <row r="13" spans="1:67" ht="12.75">
      <c r="A13" s="161" t="s">
        <v>48</v>
      </c>
      <c r="B13" s="148">
        <v>3878</v>
      </c>
      <c r="C13" s="147" t="s">
        <v>144</v>
      </c>
      <c r="D13" s="148">
        <v>30600106</v>
      </c>
      <c r="E13" s="147" t="s">
        <v>145</v>
      </c>
      <c r="F13" s="148" t="s">
        <v>75</v>
      </c>
      <c r="G13" s="148">
        <v>3086</v>
      </c>
      <c r="H13" s="147" t="s">
        <v>176</v>
      </c>
      <c r="I13" s="148">
        <v>929.918357391357</v>
      </c>
      <c r="J13" s="148" t="s">
        <v>789</v>
      </c>
      <c r="K13" s="148" t="s">
        <v>51</v>
      </c>
      <c r="L13" s="167">
        <v>0</v>
      </c>
      <c r="M13" s="178">
        <v>1189</v>
      </c>
      <c r="N13" s="148" t="s">
        <v>791</v>
      </c>
      <c r="O13" s="149">
        <v>0.00138</v>
      </c>
      <c r="P13" s="148" t="s">
        <v>51</v>
      </c>
      <c r="Q13" s="147" t="s">
        <v>52</v>
      </c>
      <c r="R13" s="147"/>
      <c r="S13" s="147"/>
      <c r="T13" s="147"/>
      <c r="U13" s="147"/>
      <c r="V13" s="147"/>
      <c r="W13" s="175">
        <f t="shared" si="0"/>
        <v>1.083514371039639</v>
      </c>
      <c r="X13" s="171"/>
      <c r="Y13" s="148">
        <v>3</v>
      </c>
      <c r="Z13" s="148">
        <f aca="true" t="shared" si="1" ref="Z13:Z30">(13.8*32*2)/379</f>
        <v>2.3303430079155674</v>
      </c>
      <c r="AA13" s="148" t="s">
        <v>180</v>
      </c>
      <c r="AB13" s="153" t="s">
        <v>793</v>
      </c>
      <c r="AC13" s="127"/>
      <c r="AD13" s="127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</row>
    <row r="14" spans="1:67" ht="12.75">
      <c r="A14" s="161" t="s">
        <v>48</v>
      </c>
      <c r="B14" s="148">
        <v>3886</v>
      </c>
      <c r="C14" s="147" t="s">
        <v>146</v>
      </c>
      <c r="D14" s="148">
        <v>30600106</v>
      </c>
      <c r="E14" s="147" t="s">
        <v>147</v>
      </c>
      <c r="F14" s="148" t="s">
        <v>75</v>
      </c>
      <c r="G14" s="148">
        <v>3090</v>
      </c>
      <c r="H14" s="147" t="s">
        <v>176</v>
      </c>
      <c r="I14" s="148">
        <v>98.3806794140625</v>
      </c>
      <c r="J14" s="148" t="s">
        <v>789</v>
      </c>
      <c r="K14" s="148" t="s">
        <v>51</v>
      </c>
      <c r="L14" s="167">
        <v>0</v>
      </c>
      <c r="M14" s="178">
        <v>1189</v>
      </c>
      <c r="N14" s="148" t="s">
        <v>791</v>
      </c>
      <c r="O14" s="149">
        <v>0.00138</v>
      </c>
      <c r="P14" s="148" t="s">
        <v>51</v>
      </c>
      <c r="Q14" s="147" t="s">
        <v>52</v>
      </c>
      <c r="R14" s="147"/>
      <c r="S14" s="147"/>
      <c r="T14" s="147"/>
      <c r="U14" s="147"/>
      <c r="V14" s="147"/>
      <c r="W14" s="175">
        <f t="shared" si="0"/>
        <v>0.11463036419327177</v>
      </c>
      <c r="X14" s="171"/>
      <c r="Y14" s="148">
        <v>3</v>
      </c>
      <c r="Z14" s="148">
        <f t="shared" si="1"/>
        <v>2.3303430079155674</v>
      </c>
      <c r="AA14" s="148" t="s">
        <v>180</v>
      </c>
      <c r="AB14" s="153" t="s">
        <v>793</v>
      </c>
      <c r="AC14" s="127"/>
      <c r="AD14" s="127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</row>
    <row r="15" spans="1:67" ht="12.75">
      <c r="A15" s="161" t="s">
        <v>48</v>
      </c>
      <c r="B15" s="148">
        <v>3887</v>
      </c>
      <c r="C15" s="147" t="s">
        <v>148</v>
      </c>
      <c r="D15" s="148">
        <v>30600106</v>
      </c>
      <c r="E15" s="147" t="s">
        <v>149</v>
      </c>
      <c r="F15" s="148" t="s">
        <v>75</v>
      </c>
      <c r="G15" s="148">
        <v>3091</v>
      </c>
      <c r="H15" s="147" t="s">
        <v>176</v>
      </c>
      <c r="I15" s="148">
        <v>77.53117246875</v>
      </c>
      <c r="J15" s="148" t="s">
        <v>789</v>
      </c>
      <c r="K15" s="148" t="s">
        <v>51</v>
      </c>
      <c r="L15" s="167">
        <v>0</v>
      </c>
      <c r="M15" s="178">
        <v>1189</v>
      </c>
      <c r="N15" s="148" t="s">
        <v>791</v>
      </c>
      <c r="O15" s="149">
        <v>0.00138</v>
      </c>
      <c r="P15" s="148" t="s">
        <v>51</v>
      </c>
      <c r="Q15" s="147" t="s">
        <v>52</v>
      </c>
      <c r="R15" s="147"/>
      <c r="S15" s="147"/>
      <c r="T15" s="147"/>
      <c r="U15" s="147"/>
      <c r="V15" s="147"/>
      <c r="W15" s="175">
        <f t="shared" si="0"/>
        <v>0.09033711282902375</v>
      </c>
      <c r="X15" s="171"/>
      <c r="Y15" s="148">
        <v>3</v>
      </c>
      <c r="Z15" s="148">
        <f t="shared" si="1"/>
        <v>2.3303430079155674</v>
      </c>
      <c r="AA15" s="148" t="s">
        <v>180</v>
      </c>
      <c r="AB15" s="153" t="s">
        <v>793</v>
      </c>
      <c r="AC15" s="127"/>
      <c r="AD15" s="127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</row>
    <row r="16" spans="1:67" ht="12.75">
      <c r="A16" s="161" t="s">
        <v>48</v>
      </c>
      <c r="B16" s="148">
        <v>3888</v>
      </c>
      <c r="C16" s="147" t="s">
        <v>150</v>
      </c>
      <c r="D16" s="148">
        <v>30600201</v>
      </c>
      <c r="E16" s="147" t="s">
        <v>151</v>
      </c>
      <c r="F16" s="148" t="s">
        <v>75</v>
      </c>
      <c r="G16" s="148">
        <v>3092</v>
      </c>
      <c r="H16" s="147" t="s">
        <v>176</v>
      </c>
      <c r="I16" s="148">
        <v>540233.731933594</v>
      </c>
      <c r="J16" s="148" t="s">
        <v>789</v>
      </c>
      <c r="K16" s="148" t="s">
        <v>51</v>
      </c>
      <c r="L16" s="167">
        <v>0</v>
      </c>
      <c r="M16" s="178">
        <v>1189</v>
      </c>
      <c r="N16" s="148" t="s">
        <v>791</v>
      </c>
      <c r="O16" s="149">
        <v>0.00138</v>
      </c>
      <c r="P16" s="148" t="s">
        <v>51</v>
      </c>
      <c r="Q16" s="147" t="s">
        <v>52</v>
      </c>
      <c r="R16" s="147"/>
      <c r="S16" s="147"/>
      <c r="T16" s="147"/>
      <c r="U16" s="147"/>
      <c r="V16" s="147"/>
      <c r="W16" s="175">
        <f t="shared" si="0"/>
        <v>324.68047289209</v>
      </c>
      <c r="X16" s="171"/>
      <c r="Y16" s="148">
        <v>1</v>
      </c>
      <c r="Z16" s="148">
        <v>1.202</v>
      </c>
      <c r="AA16" s="148" t="s">
        <v>180</v>
      </c>
      <c r="AB16" s="153" t="s">
        <v>188</v>
      </c>
      <c r="AC16" s="127"/>
      <c r="AD16" s="127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</row>
    <row r="17" spans="1:67" ht="12.75">
      <c r="A17" s="161" t="s">
        <v>48</v>
      </c>
      <c r="B17" s="148">
        <v>3889</v>
      </c>
      <c r="C17" s="147" t="s">
        <v>152</v>
      </c>
      <c r="D17" s="148">
        <v>30600904</v>
      </c>
      <c r="E17" s="147" t="s">
        <v>153</v>
      </c>
      <c r="F17" s="148" t="s">
        <v>75</v>
      </c>
      <c r="G17" s="148">
        <v>3093</v>
      </c>
      <c r="H17" s="147" t="s">
        <v>164</v>
      </c>
      <c r="I17" s="146">
        <f>13983.15/3</f>
        <v>4661.05</v>
      </c>
      <c r="J17" s="148" t="s">
        <v>187</v>
      </c>
      <c r="K17" s="148" t="s">
        <v>51</v>
      </c>
      <c r="L17" s="167">
        <v>0</v>
      </c>
      <c r="M17" s="178" t="s">
        <v>51</v>
      </c>
      <c r="N17" s="148"/>
      <c r="O17" s="149" t="s">
        <v>51</v>
      </c>
      <c r="P17" s="148" t="s">
        <v>51</v>
      </c>
      <c r="Q17" s="147" t="s">
        <v>52</v>
      </c>
      <c r="R17" s="147" t="s">
        <v>179</v>
      </c>
      <c r="S17" s="147">
        <v>23</v>
      </c>
      <c r="T17" s="147"/>
      <c r="U17" s="147"/>
      <c r="V17" s="147"/>
      <c r="W17" s="175">
        <f t="shared" si="0"/>
        <v>62.6911225</v>
      </c>
      <c r="X17" s="171"/>
      <c r="Y17" s="148">
        <v>3</v>
      </c>
      <c r="Z17" s="148">
        <v>26.9</v>
      </c>
      <c r="AA17" s="148" t="s">
        <v>181</v>
      </c>
      <c r="AB17" s="154" t="s">
        <v>797</v>
      </c>
      <c r="AC17" s="127"/>
      <c r="AD17" s="127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</row>
    <row r="18" spans="1:67" ht="12.75">
      <c r="A18" s="161" t="s">
        <v>48</v>
      </c>
      <c r="B18" s="148">
        <v>3890</v>
      </c>
      <c r="C18" s="147" t="s">
        <v>61</v>
      </c>
      <c r="D18" s="148">
        <v>30600106</v>
      </c>
      <c r="E18" s="147" t="s">
        <v>154</v>
      </c>
      <c r="F18" s="148" t="s">
        <v>75</v>
      </c>
      <c r="G18" s="148">
        <v>3094</v>
      </c>
      <c r="H18" s="147" t="s">
        <v>176</v>
      </c>
      <c r="I18" s="148">
        <v>202.438505501953</v>
      </c>
      <c r="J18" s="148" t="s">
        <v>789</v>
      </c>
      <c r="K18" s="148" t="s">
        <v>51</v>
      </c>
      <c r="L18" s="167">
        <v>0</v>
      </c>
      <c r="M18" s="178">
        <v>1189</v>
      </c>
      <c r="N18" s="148" t="s">
        <v>791</v>
      </c>
      <c r="O18" s="149">
        <v>0.00138</v>
      </c>
      <c r="P18" s="148" t="s">
        <v>51</v>
      </c>
      <c r="Q18" s="147" t="s">
        <v>52</v>
      </c>
      <c r="R18" s="147"/>
      <c r="S18" s="147"/>
      <c r="T18" s="147"/>
      <c r="U18" s="147"/>
      <c r="V18" s="147"/>
      <c r="W18" s="175">
        <f t="shared" si="0"/>
        <v>0.23587557791467662</v>
      </c>
      <c r="X18" s="171"/>
      <c r="Y18" s="148">
        <v>3</v>
      </c>
      <c r="Z18" s="148">
        <f t="shared" si="1"/>
        <v>2.3303430079155674</v>
      </c>
      <c r="AA18" s="148" t="s">
        <v>180</v>
      </c>
      <c r="AB18" s="153" t="s">
        <v>793</v>
      </c>
      <c r="AC18" s="127"/>
      <c r="AD18" s="127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</row>
    <row r="19" spans="1:67" ht="12.75">
      <c r="A19" s="161" t="s">
        <v>48</v>
      </c>
      <c r="B19" s="148">
        <v>3891</v>
      </c>
      <c r="C19" s="147" t="s">
        <v>72</v>
      </c>
      <c r="D19" s="148">
        <v>30600106</v>
      </c>
      <c r="E19" s="147" t="s">
        <v>155</v>
      </c>
      <c r="F19" s="148" t="s">
        <v>75</v>
      </c>
      <c r="G19" s="148">
        <v>3095</v>
      </c>
      <c r="H19" s="147" t="s">
        <v>176</v>
      </c>
      <c r="I19" s="148">
        <v>281.036978759766</v>
      </c>
      <c r="J19" s="148" t="s">
        <v>789</v>
      </c>
      <c r="K19" s="148" t="s">
        <v>51</v>
      </c>
      <c r="L19" s="167">
        <v>0</v>
      </c>
      <c r="M19" s="178">
        <v>1189</v>
      </c>
      <c r="N19" s="148" t="s">
        <v>791</v>
      </c>
      <c r="O19" s="149">
        <v>0.00138</v>
      </c>
      <c r="P19" s="148" t="s">
        <v>51</v>
      </c>
      <c r="Q19" s="147" t="s">
        <v>52</v>
      </c>
      <c r="R19" s="147"/>
      <c r="S19" s="147"/>
      <c r="T19" s="147"/>
      <c r="U19" s="147"/>
      <c r="V19" s="147"/>
      <c r="W19" s="175">
        <f t="shared" si="0"/>
        <v>0.32745627920926823</v>
      </c>
      <c r="X19" s="171"/>
      <c r="Y19" s="148">
        <v>3</v>
      </c>
      <c r="Z19" s="148">
        <f t="shared" si="1"/>
        <v>2.3303430079155674</v>
      </c>
      <c r="AA19" s="148" t="s">
        <v>180</v>
      </c>
      <c r="AB19" s="153" t="s">
        <v>793</v>
      </c>
      <c r="AC19" s="127"/>
      <c r="AD19" s="127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</row>
    <row r="20" spans="1:67" ht="12.75">
      <c r="A20" s="161" t="s">
        <v>48</v>
      </c>
      <c r="B20" s="148">
        <v>3892</v>
      </c>
      <c r="C20" s="147" t="s">
        <v>156</v>
      </c>
      <c r="D20" s="148">
        <v>30600106</v>
      </c>
      <c r="E20" s="147" t="s">
        <v>157</v>
      </c>
      <c r="F20" s="148" t="s">
        <v>75</v>
      </c>
      <c r="G20" s="148">
        <v>3096</v>
      </c>
      <c r="H20" s="147" t="s">
        <v>176</v>
      </c>
      <c r="I20" s="148">
        <v>239.041935424805</v>
      </c>
      <c r="J20" s="148" t="s">
        <v>789</v>
      </c>
      <c r="K20" s="148" t="s">
        <v>51</v>
      </c>
      <c r="L20" s="167">
        <v>0</v>
      </c>
      <c r="M20" s="178">
        <v>1189</v>
      </c>
      <c r="N20" s="148" t="s">
        <v>791</v>
      </c>
      <c r="O20" s="149">
        <v>0.00138</v>
      </c>
      <c r="P20" s="148" t="s">
        <v>51</v>
      </c>
      <c r="Q20" s="147" t="s">
        <v>52</v>
      </c>
      <c r="R20" s="147"/>
      <c r="S20" s="147"/>
      <c r="T20" s="147"/>
      <c r="U20" s="147"/>
      <c r="V20" s="147"/>
      <c r="W20" s="175">
        <f t="shared" si="0"/>
        <v>0.27852485140789945</v>
      </c>
      <c r="X20" s="171"/>
      <c r="Y20" s="148">
        <v>3</v>
      </c>
      <c r="Z20" s="148">
        <f t="shared" si="1"/>
        <v>2.3303430079155674</v>
      </c>
      <c r="AA20" s="148" t="s">
        <v>180</v>
      </c>
      <c r="AB20" s="153" t="s">
        <v>793</v>
      </c>
      <c r="AC20" s="127"/>
      <c r="AD20" s="127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</row>
    <row r="21" spans="1:67" ht="12.75">
      <c r="A21" s="161" t="s">
        <v>48</v>
      </c>
      <c r="B21" s="148">
        <v>3893</v>
      </c>
      <c r="C21" s="147" t="s">
        <v>158</v>
      </c>
      <c r="D21" s="148">
        <v>30600106</v>
      </c>
      <c r="E21" s="147" t="s">
        <v>159</v>
      </c>
      <c r="F21" s="148" t="s">
        <v>75</v>
      </c>
      <c r="G21" s="148">
        <v>3097</v>
      </c>
      <c r="H21" s="147" t="s">
        <v>176</v>
      </c>
      <c r="I21" s="148">
        <v>159.300739286133</v>
      </c>
      <c r="J21" s="148" t="s">
        <v>789</v>
      </c>
      <c r="K21" s="148" t="s">
        <v>51</v>
      </c>
      <c r="L21" s="167">
        <v>0</v>
      </c>
      <c r="M21" s="178">
        <v>1189</v>
      </c>
      <c r="N21" s="148" t="s">
        <v>791</v>
      </c>
      <c r="O21" s="149">
        <v>0.00138</v>
      </c>
      <c r="P21" s="148" t="s">
        <v>51</v>
      </c>
      <c r="Q21" s="147" t="s">
        <v>52</v>
      </c>
      <c r="R21" s="147"/>
      <c r="S21" s="147"/>
      <c r="T21" s="147"/>
      <c r="U21" s="147"/>
      <c r="V21" s="147"/>
      <c r="W21" s="175">
        <f t="shared" si="0"/>
        <v>0.18561268197561037</v>
      </c>
      <c r="X21" s="171"/>
      <c r="Y21" s="148">
        <v>3</v>
      </c>
      <c r="Z21" s="148">
        <f t="shared" si="1"/>
        <v>2.3303430079155674</v>
      </c>
      <c r="AA21" s="148" t="s">
        <v>180</v>
      </c>
      <c r="AB21" s="153" t="s">
        <v>793</v>
      </c>
      <c r="AC21" s="127"/>
      <c r="AD21" s="127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</row>
    <row r="22" spans="1:67" ht="12.75">
      <c r="A22" s="161" t="s">
        <v>48</v>
      </c>
      <c r="B22" s="148">
        <v>3894</v>
      </c>
      <c r="C22" s="147" t="s">
        <v>160</v>
      </c>
      <c r="D22" s="148">
        <v>30600106</v>
      </c>
      <c r="E22" s="147" t="s">
        <v>161</v>
      </c>
      <c r="F22" s="148" t="s">
        <v>75</v>
      </c>
      <c r="G22" s="148">
        <v>3098</v>
      </c>
      <c r="H22" s="147" t="s">
        <v>176</v>
      </c>
      <c r="I22" s="148">
        <v>396.952263259277</v>
      </c>
      <c r="J22" s="148" t="s">
        <v>789</v>
      </c>
      <c r="K22" s="148" t="s">
        <v>51</v>
      </c>
      <c r="L22" s="167">
        <v>0</v>
      </c>
      <c r="M22" s="178">
        <v>1189</v>
      </c>
      <c r="N22" s="148" t="s">
        <v>791</v>
      </c>
      <c r="O22" s="149">
        <v>0.00138</v>
      </c>
      <c r="P22" s="148" t="s">
        <v>51</v>
      </c>
      <c r="Q22" s="147" t="s">
        <v>52</v>
      </c>
      <c r="R22" s="147"/>
      <c r="S22" s="147"/>
      <c r="T22" s="147"/>
      <c r="U22" s="147"/>
      <c r="V22" s="147"/>
      <c r="W22" s="175">
        <f t="shared" si="0"/>
        <v>0.46251746558125784</v>
      </c>
      <c r="X22" s="171"/>
      <c r="Y22" s="148">
        <v>3</v>
      </c>
      <c r="Z22" s="148">
        <f t="shared" si="1"/>
        <v>2.3303430079155674</v>
      </c>
      <c r="AA22" s="148" t="s">
        <v>180</v>
      </c>
      <c r="AB22" s="153" t="s">
        <v>793</v>
      </c>
      <c r="AC22" s="127"/>
      <c r="AD22" s="127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</row>
    <row r="23" spans="1:67" ht="12.75">
      <c r="A23" s="161" t="s">
        <v>48</v>
      </c>
      <c r="B23" s="148">
        <v>3895</v>
      </c>
      <c r="C23" s="147" t="s">
        <v>190</v>
      </c>
      <c r="D23" s="148">
        <v>30600106</v>
      </c>
      <c r="E23" s="147" t="s">
        <v>191</v>
      </c>
      <c r="F23" s="148" t="s">
        <v>75</v>
      </c>
      <c r="G23" s="148">
        <v>3098</v>
      </c>
      <c r="H23" s="147" t="s">
        <v>192</v>
      </c>
      <c r="I23" s="148">
        <v>8.2</v>
      </c>
      <c r="J23" s="148" t="s">
        <v>777</v>
      </c>
      <c r="K23" s="148"/>
      <c r="L23" s="167"/>
      <c r="M23" s="178">
        <v>6000000</v>
      </c>
      <c r="N23" s="148" t="s">
        <v>792</v>
      </c>
      <c r="O23" s="149">
        <v>0.00138</v>
      </c>
      <c r="P23" s="148"/>
      <c r="Q23" s="147" t="s">
        <v>52</v>
      </c>
      <c r="R23" s="147"/>
      <c r="S23" s="147"/>
      <c r="T23" s="147"/>
      <c r="U23" s="147"/>
      <c r="V23" s="147"/>
      <c r="W23" s="175">
        <f t="shared" si="0"/>
        <v>0.5278339999999999</v>
      </c>
      <c r="X23" s="171"/>
      <c r="Y23" s="148">
        <v>3</v>
      </c>
      <c r="Z23" s="148">
        <v>128.74</v>
      </c>
      <c r="AA23" s="148" t="s">
        <v>180</v>
      </c>
      <c r="AB23" s="152" t="s">
        <v>796</v>
      </c>
      <c r="AC23" s="127"/>
      <c r="AD23" s="127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</row>
    <row r="24" spans="1:67" ht="12.75">
      <c r="A24" s="161" t="s">
        <v>48</v>
      </c>
      <c r="B24" s="148">
        <v>3896</v>
      </c>
      <c r="C24" s="147" t="s">
        <v>162</v>
      </c>
      <c r="D24" s="148">
        <v>30600904</v>
      </c>
      <c r="E24" s="147" t="s">
        <v>163</v>
      </c>
      <c r="F24" s="148" t="s">
        <v>75</v>
      </c>
      <c r="G24" s="148">
        <v>3099</v>
      </c>
      <c r="H24" s="147" t="s">
        <v>189</v>
      </c>
      <c r="I24" s="148">
        <v>4661.05</v>
      </c>
      <c r="J24" s="148" t="s">
        <v>790</v>
      </c>
      <c r="K24" s="148" t="s">
        <v>51</v>
      </c>
      <c r="L24" s="167">
        <v>0</v>
      </c>
      <c r="M24" s="178" t="s">
        <v>51</v>
      </c>
      <c r="N24" s="148"/>
      <c r="O24" s="149" t="s">
        <v>51</v>
      </c>
      <c r="P24" s="148" t="s">
        <v>51</v>
      </c>
      <c r="Q24" s="147" t="s">
        <v>52</v>
      </c>
      <c r="R24" s="147" t="s">
        <v>179</v>
      </c>
      <c r="S24" s="147">
        <v>23</v>
      </c>
      <c r="T24" s="147"/>
      <c r="U24" s="147"/>
      <c r="V24" s="147"/>
      <c r="W24" s="175">
        <f t="shared" si="0"/>
        <v>62.6911225</v>
      </c>
      <c r="X24" s="171"/>
      <c r="Y24" s="148">
        <v>3</v>
      </c>
      <c r="Z24" s="148">
        <v>26.9</v>
      </c>
      <c r="AA24" s="148" t="s">
        <v>181</v>
      </c>
      <c r="AB24" s="154" t="s">
        <v>797</v>
      </c>
      <c r="AC24" s="127"/>
      <c r="AD24" s="127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</row>
    <row r="25" spans="1:67" ht="12.75">
      <c r="A25" s="161" t="s">
        <v>48</v>
      </c>
      <c r="B25" s="148">
        <v>3897</v>
      </c>
      <c r="C25" s="147" t="s">
        <v>165</v>
      </c>
      <c r="D25" s="148">
        <v>30600106</v>
      </c>
      <c r="E25" s="147" t="s">
        <v>166</v>
      </c>
      <c r="F25" s="148" t="s">
        <v>75</v>
      </c>
      <c r="G25" s="148">
        <v>3100</v>
      </c>
      <c r="H25" s="147" t="s">
        <v>176</v>
      </c>
      <c r="I25" s="148">
        <v>356.438050195313</v>
      </c>
      <c r="J25" s="148" t="s">
        <v>789</v>
      </c>
      <c r="K25" s="148" t="s">
        <v>51</v>
      </c>
      <c r="L25" s="167">
        <v>0</v>
      </c>
      <c r="M25" s="178">
        <v>1189</v>
      </c>
      <c r="N25" s="148" t="s">
        <v>791</v>
      </c>
      <c r="O25" s="149">
        <v>0.00138</v>
      </c>
      <c r="P25" s="148" t="s">
        <v>51</v>
      </c>
      <c r="Q25" s="147" t="s">
        <v>52</v>
      </c>
      <c r="R25" s="147"/>
      <c r="S25" s="147"/>
      <c r="T25" s="147"/>
      <c r="U25" s="147"/>
      <c r="V25" s="147"/>
      <c r="W25" s="175">
        <f t="shared" si="0"/>
        <v>0.4153114590138528</v>
      </c>
      <c r="X25" s="171"/>
      <c r="Y25" s="148">
        <v>3</v>
      </c>
      <c r="Z25" s="148">
        <f t="shared" si="1"/>
        <v>2.3303430079155674</v>
      </c>
      <c r="AA25" s="148" t="s">
        <v>180</v>
      </c>
      <c r="AB25" s="153" t="s">
        <v>793</v>
      </c>
      <c r="AC25" s="127"/>
      <c r="AD25" s="127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</row>
    <row r="26" spans="1:67" ht="12.75">
      <c r="A26" s="161" t="s">
        <v>48</v>
      </c>
      <c r="B26" s="148">
        <v>3898</v>
      </c>
      <c r="C26" s="147" t="s">
        <v>167</v>
      </c>
      <c r="D26" s="148">
        <v>30600904</v>
      </c>
      <c r="E26" s="147" t="s">
        <v>168</v>
      </c>
      <c r="F26" s="148" t="s">
        <v>75</v>
      </c>
      <c r="G26" s="148">
        <v>3101</v>
      </c>
      <c r="H26" s="147" t="s">
        <v>189</v>
      </c>
      <c r="I26" s="148">
        <v>4661.05</v>
      </c>
      <c r="J26" s="148" t="s">
        <v>790</v>
      </c>
      <c r="K26" s="148" t="s">
        <v>51</v>
      </c>
      <c r="L26" s="167">
        <v>0</v>
      </c>
      <c r="M26" s="178" t="s">
        <v>51</v>
      </c>
      <c r="N26" s="148"/>
      <c r="O26" s="149" t="s">
        <v>51</v>
      </c>
      <c r="P26" s="148" t="s">
        <v>51</v>
      </c>
      <c r="Q26" s="147" t="s">
        <v>52</v>
      </c>
      <c r="R26" s="147" t="s">
        <v>179</v>
      </c>
      <c r="S26" s="147">
        <v>23</v>
      </c>
      <c r="T26" s="147"/>
      <c r="U26" s="147"/>
      <c r="V26" s="147"/>
      <c r="W26" s="175">
        <f t="shared" si="0"/>
        <v>62.6911225</v>
      </c>
      <c r="X26" s="171"/>
      <c r="Y26" s="148">
        <v>3</v>
      </c>
      <c r="Z26" s="148">
        <v>26.9</v>
      </c>
      <c r="AA26" s="148" t="s">
        <v>194</v>
      </c>
      <c r="AB26" s="154" t="s">
        <v>797</v>
      </c>
      <c r="AC26" s="127"/>
      <c r="AD26" s="127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</row>
    <row r="27" spans="1:67" ht="12.75">
      <c r="A27" s="161" t="s">
        <v>48</v>
      </c>
      <c r="B27" s="148">
        <v>3899</v>
      </c>
      <c r="C27" s="147" t="s">
        <v>169</v>
      </c>
      <c r="D27" s="148">
        <v>30600106</v>
      </c>
      <c r="E27" s="147" t="s">
        <v>170</v>
      </c>
      <c r="F27" s="148" t="s">
        <v>75</v>
      </c>
      <c r="G27" s="148">
        <v>3102</v>
      </c>
      <c r="H27" s="147" t="s">
        <v>176</v>
      </c>
      <c r="I27" s="148">
        <v>23.8551292953491</v>
      </c>
      <c r="J27" s="148" t="s">
        <v>789</v>
      </c>
      <c r="K27" s="148" t="s">
        <v>51</v>
      </c>
      <c r="L27" s="167">
        <v>0</v>
      </c>
      <c r="M27" s="178">
        <v>1189</v>
      </c>
      <c r="N27" s="148" t="s">
        <v>791</v>
      </c>
      <c r="O27" s="149">
        <v>0.00138</v>
      </c>
      <c r="P27" s="148" t="s">
        <v>51</v>
      </c>
      <c r="Q27" s="147" t="s">
        <v>52</v>
      </c>
      <c r="R27" s="147"/>
      <c r="S27" s="147"/>
      <c r="T27" s="147"/>
      <c r="U27" s="147"/>
      <c r="V27" s="147"/>
      <c r="W27" s="175">
        <f t="shared" si="0"/>
        <v>0.027795316878169298</v>
      </c>
      <c r="X27" s="171"/>
      <c r="Y27" s="148">
        <v>3</v>
      </c>
      <c r="Z27" s="148">
        <f t="shared" si="1"/>
        <v>2.3303430079155674</v>
      </c>
      <c r="AA27" s="148" t="s">
        <v>180</v>
      </c>
      <c r="AB27" s="153" t="s">
        <v>793</v>
      </c>
      <c r="AC27" s="127"/>
      <c r="AD27" s="127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</row>
    <row r="28" spans="1:67" ht="12.75">
      <c r="A28" s="161" t="s">
        <v>48</v>
      </c>
      <c r="B28" s="148">
        <v>4333</v>
      </c>
      <c r="C28" s="147" t="s">
        <v>171</v>
      </c>
      <c r="D28" s="148">
        <v>30600106</v>
      </c>
      <c r="E28" s="147" t="s">
        <v>172</v>
      </c>
      <c r="F28" s="148" t="s">
        <v>75</v>
      </c>
      <c r="G28" s="148">
        <v>3103</v>
      </c>
      <c r="H28" s="147" t="s">
        <v>176</v>
      </c>
      <c r="I28" s="148">
        <v>139.178781982422</v>
      </c>
      <c r="J28" s="148" t="s">
        <v>789</v>
      </c>
      <c r="K28" s="148" t="s">
        <v>51</v>
      </c>
      <c r="L28" s="167">
        <v>0</v>
      </c>
      <c r="M28" s="178">
        <v>1189</v>
      </c>
      <c r="N28" s="148" t="s">
        <v>791</v>
      </c>
      <c r="O28" s="149">
        <v>0.00138</v>
      </c>
      <c r="P28" s="148" t="s">
        <v>51</v>
      </c>
      <c r="Q28" s="147" t="s">
        <v>52</v>
      </c>
      <c r="R28" s="147"/>
      <c r="S28" s="147"/>
      <c r="T28" s="147"/>
      <c r="U28" s="147"/>
      <c r="V28" s="147"/>
      <c r="W28" s="175">
        <f t="shared" si="0"/>
        <v>0.16216715072147114</v>
      </c>
      <c r="X28" s="171"/>
      <c r="Y28" s="148">
        <v>3</v>
      </c>
      <c r="Z28" s="148">
        <f t="shared" si="1"/>
        <v>2.3303430079155674</v>
      </c>
      <c r="AA28" s="148" t="s">
        <v>180</v>
      </c>
      <c r="AB28" s="153" t="s">
        <v>793</v>
      </c>
      <c r="AC28" s="127"/>
      <c r="AD28" s="127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</row>
    <row r="29" spans="1:67" ht="12.75">
      <c r="A29" s="161" t="s">
        <v>48</v>
      </c>
      <c r="B29" s="148">
        <v>4334</v>
      </c>
      <c r="C29" s="147" t="s">
        <v>57</v>
      </c>
      <c r="D29" s="148">
        <v>30609904</v>
      </c>
      <c r="E29" s="147" t="s">
        <v>77</v>
      </c>
      <c r="F29" s="148" t="s">
        <v>75</v>
      </c>
      <c r="G29" s="148">
        <v>3104</v>
      </c>
      <c r="H29" s="147" t="s">
        <v>176</v>
      </c>
      <c r="I29" s="148">
        <v>11.48888709375</v>
      </c>
      <c r="J29" s="148" t="s">
        <v>789</v>
      </c>
      <c r="K29" s="148" t="s">
        <v>51</v>
      </c>
      <c r="L29" s="167">
        <v>0</v>
      </c>
      <c r="M29" s="178">
        <v>1189</v>
      </c>
      <c r="N29" s="148" t="s">
        <v>791</v>
      </c>
      <c r="O29" s="149">
        <v>0.00138</v>
      </c>
      <c r="P29" s="148" t="s">
        <v>51</v>
      </c>
      <c r="Q29" s="147" t="s">
        <v>52</v>
      </c>
      <c r="R29" s="147" t="s">
        <v>77</v>
      </c>
      <c r="S29" s="147">
        <v>45</v>
      </c>
      <c r="T29" s="147" t="s">
        <v>178</v>
      </c>
      <c r="U29" s="147">
        <v>21</v>
      </c>
      <c r="V29" s="147"/>
      <c r="W29" s="175">
        <v>585.3</v>
      </c>
      <c r="X29" s="171"/>
      <c r="Y29" s="148">
        <v>3</v>
      </c>
      <c r="Z29" s="148" t="s">
        <v>186</v>
      </c>
      <c r="AA29" s="148" t="s">
        <v>180</v>
      </c>
      <c r="AB29" s="153" t="s">
        <v>195</v>
      </c>
      <c r="AC29" s="127"/>
      <c r="AD29" s="127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</row>
    <row r="30" spans="1:67" ht="13.5" thickBot="1">
      <c r="A30" s="162" t="s">
        <v>173</v>
      </c>
      <c r="B30" s="155">
        <v>5479</v>
      </c>
      <c r="C30" s="156" t="s">
        <v>174</v>
      </c>
      <c r="D30" s="155">
        <v>20200202</v>
      </c>
      <c r="E30" s="156" t="s">
        <v>175</v>
      </c>
      <c r="F30" s="155" t="s">
        <v>75</v>
      </c>
      <c r="G30" s="155">
        <v>0</v>
      </c>
      <c r="H30" s="156" t="s">
        <v>177</v>
      </c>
      <c r="I30" s="155">
        <v>91.285</v>
      </c>
      <c r="J30" s="155" t="s">
        <v>789</v>
      </c>
      <c r="K30" s="155">
        <v>1035</v>
      </c>
      <c r="L30" s="169">
        <v>0</v>
      </c>
      <c r="M30" s="179">
        <v>0</v>
      </c>
      <c r="N30" s="155">
        <v>0</v>
      </c>
      <c r="O30" s="157">
        <v>0.001</v>
      </c>
      <c r="P30" s="155"/>
      <c r="Q30" s="156" t="s">
        <v>52</v>
      </c>
      <c r="R30" s="156"/>
      <c r="S30" s="156"/>
      <c r="T30" s="156"/>
      <c r="U30" s="156"/>
      <c r="V30" s="156"/>
      <c r="W30" s="180">
        <f>Z30*I30/2000</f>
        <v>0.10636268073878628</v>
      </c>
      <c r="X30" s="173"/>
      <c r="Y30" s="155">
        <v>3</v>
      </c>
      <c r="Z30" s="155">
        <f t="shared" si="1"/>
        <v>2.3303430079155674</v>
      </c>
      <c r="AA30" s="155" t="s">
        <v>180</v>
      </c>
      <c r="AB30" s="158" t="s">
        <v>793</v>
      </c>
      <c r="AC30" s="127"/>
      <c r="AD30" s="127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</row>
    <row r="31" spans="1:66" ht="13.5" thickBot="1">
      <c r="A31" s="74"/>
      <c r="B31" s="74"/>
      <c r="C31" s="74"/>
      <c r="D31" s="74"/>
      <c r="E31" s="74"/>
      <c r="F31" s="74"/>
      <c r="G31" s="74"/>
      <c r="H31" s="74"/>
      <c r="I31" s="74"/>
      <c r="J31" s="78"/>
      <c r="K31" s="78"/>
      <c r="L31" s="74"/>
      <c r="M31" s="64"/>
      <c r="N31" s="78"/>
      <c r="O31" s="74"/>
      <c r="P31" s="74"/>
      <c r="Q31" s="74"/>
      <c r="R31" s="74"/>
      <c r="S31" s="74"/>
      <c r="T31" s="74"/>
      <c r="U31" s="74"/>
      <c r="V31" s="445" t="s">
        <v>196</v>
      </c>
      <c r="W31" s="446">
        <f>SUM(W9:W30)</f>
        <v>1115.7276193434825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</row>
    <row r="32" spans="1:66" ht="13.5" thickTop="1">
      <c r="A32" s="74"/>
      <c r="B32" s="74"/>
      <c r="C32" s="74"/>
      <c r="D32" s="74"/>
      <c r="E32" s="74"/>
      <c r="F32" s="74"/>
      <c r="G32" s="74"/>
      <c r="H32" s="74"/>
      <c r="I32" s="74"/>
      <c r="J32" s="78"/>
      <c r="K32" s="78"/>
      <c r="L32" s="74"/>
      <c r="M32" s="64"/>
      <c r="N32" s="78"/>
      <c r="O32" s="74"/>
      <c r="P32" s="74"/>
      <c r="Q32" s="74"/>
      <c r="R32" s="74"/>
      <c r="S32" s="74"/>
      <c r="T32" s="74"/>
      <c r="U32" s="74"/>
      <c r="V32" s="74"/>
      <c r="W32" s="12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:66" ht="12.75">
      <c r="A33" s="74"/>
      <c r="B33" s="74"/>
      <c r="C33" s="74" t="s">
        <v>197</v>
      </c>
      <c r="D33" s="74"/>
      <c r="E33" s="74"/>
      <c r="F33" s="74"/>
      <c r="G33" s="74"/>
      <c r="H33" s="74"/>
      <c r="I33" s="74"/>
      <c r="J33" s="78"/>
      <c r="K33" s="78"/>
      <c r="L33" s="74"/>
      <c r="M33" s="64"/>
      <c r="N33" s="78"/>
      <c r="O33" s="74"/>
      <c r="P33" s="74"/>
      <c r="Q33" s="74"/>
      <c r="R33" s="74"/>
      <c r="S33" s="74"/>
      <c r="T33" s="74"/>
      <c r="U33" s="74"/>
      <c r="V33" s="74"/>
      <c r="W33" s="12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</row>
    <row r="34" spans="1:66" ht="12.75">
      <c r="A34" s="74"/>
      <c r="B34" s="74"/>
      <c r="C34" s="74"/>
      <c r="D34" s="74"/>
      <c r="E34" s="74"/>
      <c r="F34" s="74"/>
      <c r="G34" s="74"/>
      <c r="H34" s="74"/>
      <c r="I34" s="74"/>
      <c r="J34" s="78"/>
      <c r="K34" s="78"/>
      <c r="L34" s="74"/>
      <c r="M34" s="64"/>
      <c r="N34" s="74"/>
      <c r="O34" s="74"/>
      <c r="P34" s="74"/>
      <c r="Q34" s="74"/>
      <c r="R34" s="74"/>
      <c r="S34" s="74"/>
      <c r="T34" s="74"/>
      <c r="U34" s="74"/>
      <c r="V34" s="74"/>
      <c r="W34" s="12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</row>
    <row r="35" spans="1:66" ht="12.75">
      <c r="A35" s="74"/>
      <c r="B35" s="74"/>
      <c r="C35" s="124">
        <v>3874</v>
      </c>
      <c r="D35" s="33" t="s">
        <v>794</v>
      </c>
      <c r="E35" s="74"/>
      <c r="F35" s="74"/>
      <c r="G35" s="74"/>
      <c r="H35" s="74"/>
      <c r="I35" s="74"/>
      <c r="J35" s="74"/>
      <c r="K35" s="78"/>
      <c r="L35" s="74"/>
      <c r="M35" s="64"/>
      <c r="N35" s="74"/>
      <c r="O35" s="74"/>
      <c r="P35" s="74"/>
      <c r="Q35" s="74"/>
      <c r="R35" s="74"/>
      <c r="S35" s="74"/>
      <c r="T35" s="74"/>
      <c r="U35" s="74"/>
      <c r="V35" s="74"/>
      <c r="W35" s="12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</row>
    <row r="36" spans="1:66" ht="12.75">
      <c r="A36" s="74"/>
      <c r="B36" s="74"/>
      <c r="C36" s="124">
        <v>3876</v>
      </c>
      <c r="D36" s="69" t="s">
        <v>794</v>
      </c>
      <c r="E36" s="74"/>
      <c r="F36" s="74"/>
      <c r="G36" s="74"/>
      <c r="H36" s="74"/>
      <c r="I36" s="74"/>
      <c r="J36" s="74"/>
      <c r="K36" s="78"/>
      <c r="L36" s="74"/>
      <c r="M36" s="64"/>
      <c r="N36" s="74"/>
      <c r="O36" s="74"/>
      <c r="P36" s="74"/>
      <c r="Q36" s="74"/>
      <c r="R36" s="74"/>
      <c r="S36" s="74"/>
      <c r="T36" s="74"/>
      <c r="U36" s="74"/>
      <c r="V36" s="74"/>
      <c r="W36" s="12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</row>
    <row r="37" spans="1:66" ht="12.75">
      <c r="A37" s="74"/>
      <c r="B37" s="74"/>
      <c r="C37" s="127">
        <v>3878</v>
      </c>
      <c r="D37" s="69" t="s">
        <v>794</v>
      </c>
      <c r="E37" s="74"/>
      <c r="F37" s="74"/>
      <c r="G37" s="74"/>
      <c r="H37" s="74"/>
      <c r="I37" s="74"/>
      <c r="J37" s="74"/>
      <c r="K37" s="78"/>
      <c r="L37" s="74"/>
      <c r="M37" s="64"/>
      <c r="N37" s="74"/>
      <c r="O37" s="74"/>
      <c r="P37" s="74"/>
      <c r="Q37" s="74"/>
      <c r="R37" s="74"/>
      <c r="S37" s="74"/>
      <c r="T37" s="74"/>
      <c r="U37" s="74"/>
      <c r="V37" s="74"/>
      <c r="W37" s="123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</row>
    <row r="38" spans="1:66" ht="12.75">
      <c r="A38" s="74"/>
      <c r="B38" s="74"/>
      <c r="C38" s="127">
        <v>3886</v>
      </c>
      <c r="D38" s="69" t="s">
        <v>794</v>
      </c>
      <c r="E38" s="74"/>
      <c r="F38" s="74"/>
      <c r="G38" s="74"/>
      <c r="H38" s="74"/>
      <c r="I38" s="74"/>
      <c r="J38" s="74"/>
      <c r="K38" s="78"/>
      <c r="L38" s="74"/>
      <c r="M38" s="64"/>
      <c r="N38" s="74"/>
      <c r="O38" s="74"/>
      <c r="P38" s="74"/>
      <c r="Q38" s="74"/>
      <c r="R38" s="74"/>
      <c r="S38" s="74"/>
      <c r="T38" s="74"/>
      <c r="U38" s="74"/>
      <c r="V38" s="74"/>
      <c r="W38" s="123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</row>
    <row r="39" spans="1:66" ht="12.75">
      <c r="A39" s="74"/>
      <c r="B39" s="74"/>
      <c r="C39" s="127">
        <v>3887</v>
      </c>
      <c r="D39" s="69" t="s">
        <v>794</v>
      </c>
      <c r="E39" s="74"/>
      <c r="F39" s="74"/>
      <c r="G39" s="74"/>
      <c r="H39" s="74"/>
      <c r="I39" s="74"/>
      <c r="J39" s="74"/>
      <c r="K39" s="78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23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</row>
    <row r="40" spans="1:66" ht="12.75">
      <c r="A40" s="74"/>
      <c r="B40" s="74"/>
      <c r="C40" s="127">
        <v>3890</v>
      </c>
      <c r="D40" s="69" t="s">
        <v>794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23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</row>
    <row r="41" spans="1:66" ht="12.75">
      <c r="A41" s="74"/>
      <c r="B41" s="74"/>
      <c r="C41" s="127">
        <v>3891</v>
      </c>
      <c r="D41" s="69" t="s">
        <v>794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123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</row>
    <row r="42" spans="1:66" ht="12.75">
      <c r="A42" s="74"/>
      <c r="B42" s="74"/>
      <c r="C42" s="127">
        <v>3892</v>
      </c>
      <c r="D42" s="69" t="s">
        <v>794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23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</row>
    <row r="43" spans="1:66" ht="12.75">
      <c r="A43" s="74"/>
      <c r="B43" s="74"/>
      <c r="C43" s="127">
        <v>3893</v>
      </c>
      <c r="D43" s="69" t="s">
        <v>794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23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</row>
    <row r="44" spans="1:66" ht="12.75">
      <c r="A44" s="74"/>
      <c r="B44" s="74"/>
      <c r="C44" s="127">
        <v>3894</v>
      </c>
      <c r="D44" s="69" t="s">
        <v>794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23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</row>
    <row r="45" spans="1:66" ht="12.75">
      <c r="A45" s="74"/>
      <c r="B45" s="74"/>
      <c r="C45" s="127">
        <v>3897</v>
      </c>
      <c r="D45" s="69" t="s">
        <v>794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23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</row>
    <row r="46" spans="1:66" ht="12.75">
      <c r="A46" s="74"/>
      <c r="B46" s="74"/>
      <c r="C46" s="127">
        <v>3899</v>
      </c>
      <c r="D46" s="69" t="s">
        <v>794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23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</row>
    <row r="47" spans="1:66" ht="12.75">
      <c r="A47" s="74"/>
      <c r="B47" s="74"/>
      <c r="C47" s="127">
        <v>4333</v>
      </c>
      <c r="D47" s="69" t="s">
        <v>794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23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</row>
    <row r="48" spans="1:66" ht="12.75">
      <c r="A48" s="74"/>
      <c r="B48" s="74"/>
      <c r="C48" s="127">
        <v>5479</v>
      </c>
      <c r="D48" s="69" t="s">
        <v>794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23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</row>
    <row r="49" spans="1:66" ht="12.75">
      <c r="A49" s="74"/>
      <c r="B49" s="74"/>
      <c r="C49" s="127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2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</row>
    <row r="50" spans="1:66" ht="12.75">
      <c r="A50" s="74"/>
      <c r="B50" s="74"/>
      <c r="C50" s="127"/>
      <c r="D50" s="32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23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</row>
    <row r="51" spans="1:66" ht="12.75">
      <c r="A51" s="74"/>
      <c r="B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23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</row>
    <row r="52" spans="1:66" ht="12.75">
      <c r="A52" s="74"/>
      <c r="B52" s="74"/>
      <c r="C52" s="127"/>
      <c r="D52" s="69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123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</row>
    <row r="53" spans="1:66" ht="12.75">
      <c r="A53" s="74"/>
      <c r="B53" s="74"/>
      <c r="D53" s="6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123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</row>
    <row r="54" spans="1:66" ht="12.75">
      <c r="A54" s="74"/>
      <c r="B54" s="74"/>
      <c r="D54" s="69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123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</row>
    <row r="55" spans="1:66" ht="12.75">
      <c r="A55" s="74"/>
      <c r="B55" s="74"/>
      <c r="C55" s="127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123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</row>
    <row r="56" spans="1:66" ht="12.75">
      <c r="A56" s="74"/>
      <c r="B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123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</row>
    <row r="57" spans="1:66" ht="12.75">
      <c r="A57" s="74"/>
      <c r="B57" s="74"/>
      <c r="D57" s="69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123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</row>
    <row r="58" spans="1:66" ht="12.75">
      <c r="A58" s="74"/>
      <c r="B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123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</row>
    <row r="59" spans="1:66" ht="12.75">
      <c r="A59" s="74"/>
      <c r="B59" s="74"/>
      <c r="D59" s="69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123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</row>
    <row r="60" spans="1:66" ht="12.75">
      <c r="A60" s="74"/>
      <c r="B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123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</row>
    <row r="61" spans="1:66" ht="12.75">
      <c r="A61" s="74"/>
      <c r="B61" s="74"/>
      <c r="D61" s="69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123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</row>
    <row r="62" spans="1:66" ht="12.75">
      <c r="A62" s="74"/>
      <c r="B62" s="74"/>
      <c r="D62" s="126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123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</row>
    <row r="63" spans="1:66" ht="12.75">
      <c r="A63" s="74"/>
      <c r="B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23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</row>
    <row r="64" spans="1:66" ht="12.75">
      <c r="A64" s="74"/>
      <c r="B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123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</row>
    <row r="65" spans="1:66" ht="12.75">
      <c r="A65" s="74"/>
      <c r="B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123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</row>
    <row r="66" spans="1:66" ht="12.75">
      <c r="A66" s="74"/>
      <c r="B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123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</row>
    <row r="67" spans="1:66" ht="12.75">
      <c r="A67" s="74"/>
      <c r="B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123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</row>
    <row r="68" spans="1:66" ht="12.75">
      <c r="A68" s="74"/>
      <c r="B68" s="74"/>
      <c r="D68" s="32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123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</row>
    <row r="69" spans="1:66" ht="12.75">
      <c r="A69" s="74"/>
      <c r="B69" s="74"/>
      <c r="D69" s="32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123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</row>
    <row r="70" spans="1:66" ht="12.75">
      <c r="A70" s="74"/>
      <c r="B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123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</row>
    <row r="71" spans="1:66" ht="12.75">
      <c r="A71" s="74"/>
      <c r="B71" s="74"/>
      <c r="D71" s="69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123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</row>
    <row r="72" spans="1:66" ht="12.75">
      <c r="A72" s="74"/>
      <c r="B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123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</row>
    <row r="73" spans="1:66" ht="12.75">
      <c r="A73" s="74"/>
      <c r="B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123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</row>
    <row r="74" spans="1:66" ht="12.75">
      <c r="A74" s="74"/>
      <c r="B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123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</row>
    <row r="75" spans="1:66" ht="12.75">
      <c r="A75" s="74"/>
      <c r="B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123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</row>
    <row r="76" spans="1:66" ht="12.75">
      <c r="A76" s="74"/>
      <c r="B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123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</row>
    <row r="77" spans="1:66" ht="12.75">
      <c r="A77" s="74"/>
      <c r="B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123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</row>
    <row r="78" spans="1:66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123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</row>
    <row r="79" spans="1:66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23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</row>
    <row r="80" spans="1:66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123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</row>
    <row r="81" spans="1:66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123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</row>
    <row r="82" spans="1:66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123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</row>
    <row r="83" spans="1:66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123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</row>
    <row r="84" spans="1:66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123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</row>
    <row r="85" spans="1:66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123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</row>
    <row r="86" spans="1:66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123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</row>
    <row r="87" spans="1:66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123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</row>
    <row r="88" spans="1:66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23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</row>
    <row r="89" spans="1:66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123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</row>
    <row r="90" spans="1:66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123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</row>
    <row r="91" spans="1:66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123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</row>
    <row r="92" spans="1:66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123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</row>
    <row r="93" spans="1:66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123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</row>
    <row r="94" spans="1:66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123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</row>
    <row r="95" spans="1:66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123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</row>
    <row r="96" spans="1:66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123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</row>
    <row r="97" spans="1:66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123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</row>
    <row r="98" spans="1:66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123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</row>
    <row r="99" spans="1:66" ht="12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123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</row>
    <row r="100" spans="1:66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123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</row>
    <row r="101" spans="1:66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123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</row>
    <row r="102" spans="1:66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123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</row>
    <row r="103" spans="1:66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123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</row>
    <row r="104" spans="1:66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123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</row>
    <row r="105" spans="1:66" ht="12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123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</row>
    <row r="106" spans="1:66" ht="12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123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</row>
    <row r="107" spans="1:66" ht="12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123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</row>
    <row r="108" spans="1:66" ht="12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123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</row>
    <row r="109" spans="1:66" ht="12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123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</row>
    <row r="110" spans="1:66" ht="12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123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</row>
    <row r="111" spans="1:66" ht="12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123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</row>
    <row r="112" spans="1:66" ht="12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123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</row>
    <row r="113" spans="1:66" ht="12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123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</row>
    <row r="114" spans="1:66" ht="12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123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</row>
    <row r="115" spans="1:66" ht="12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123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</row>
    <row r="116" spans="1:66" ht="12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123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</row>
    <row r="117" spans="1:66" ht="12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123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</row>
    <row r="118" spans="1:66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123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</row>
    <row r="119" spans="1:66" ht="12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123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</row>
    <row r="120" spans="1:66" ht="12.7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123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</row>
    <row r="121" spans="1:66" ht="12.7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123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</row>
    <row r="122" spans="1:66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123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</row>
    <row r="123" spans="1:66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123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</row>
    <row r="124" spans="1:66" ht="12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123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</row>
    <row r="125" spans="1:66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123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</row>
    <row r="126" spans="1:66" ht="12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123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</row>
    <row r="127" spans="1:66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123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</row>
    <row r="128" spans="1:66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123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</row>
    <row r="129" spans="1:66" ht="12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123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</row>
    <row r="130" spans="1:66" ht="12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123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</row>
    <row r="131" spans="1:66" ht="12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123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</row>
    <row r="132" spans="1:66" ht="12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123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</row>
    <row r="133" spans="1:66" ht="12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123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</row>
    <row r="134" spans="1:66" ht="12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123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</row>
    <row r="135" spans="1:66" ht="12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123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</row>
    <row r="136" spans="1:66" ht="12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123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</row>
    <row r="137" spans="1:66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123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</row>
    <row r="138" spans="1:66" ht="12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123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</row>
    <row r="139" spans="1:66" ht="12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123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</row>
    <row r="140" spans="1:66" ht="12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123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</row>
    <row r="141" spans="1:66" ht="12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23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</row>
    <row r="142" spans="1:66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123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</row>
    <row r="143" spans="1:66" ht="12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123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</row>
    <row r="144" spans="1:66" ht="12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123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</row>
    <row r="145" spans="1:66" ht="12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23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</row>
    <row r="146" spans="1:66" ht="12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123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</row>
    <row r="147" spans="1:66" ht="12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123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</row>
    <row r="148" spans="1:66" ht="12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123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</row>
    <row r="149" spans="1:66" ht="12.7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23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</row>
    <row r="150" spans="1:66" ht="12.7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123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</row>
    <row r="151" spans="1:66" ht="12.7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23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</row>
    <row r="152" spans="1:66" ht="12.7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123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</row>
    <row r="153" spans="1:66" ht="12.7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23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</row>
    <row r="154" spans="1:66" ht="12.7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123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</row>
    <row r="155" spans="1:66" ht="12.7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23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</row>
    <row r="156" spans="1:66" ht="12.7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123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</row>
    <row r="157" spans="1:66" ht="12.7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123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</row>
    <row r="158" spans="1:66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23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</row>
    <row r="159" spans="1:66" ht="12.7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123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</row>
    <row r="160" spans="1:66" ht="12.7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123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</row>
    <row r="161" spans="1:66" ht="12.7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23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</row>
    <row r="162" spans="1:66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123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</row>
    <row r="163" spans="1:66" ht="12.7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123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</row>
    <row r="164" spans="1:66" ht="12.7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123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</row>
    <row r="165" spans="1:66" ht="12.7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123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</row>
    <row r="166" spans="1:66" ht="12.7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123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</row>
    <row r="167" spans="1:66" ht="12.7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23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</row>
    <row r="168" spans="1:66" ht="12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123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</row>
    <row r="169" spans="1:66" ht="12.7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123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</row>
    <row r="170" spans="1:66" ht="12.7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123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</row>
    <row r="171" spans="1:66" ht="12.7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123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</row>
    <row r="172" spans="1:66" ht="12.7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23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</row>
    <row r="173" spans="1:66" ht="12.7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123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</row>
    <row r="174" spans="1:66" ht="12.7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123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</row>
    <row r="175" spans="1:66" ht="12.7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23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</row>
    <row r="176" spans="1:66" ht="12.7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123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</row>
    <row r="177" spans="1:66" ht="12.7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123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</row>
    <row r="178" spans="1:66" ht="12.7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123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</row>
    <row r="179" spans="1:66" ht="12.7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23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</row>
    <row r="180" spans="1:66" ht="12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123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</row>
    <row r="181" spans="1:66" ht="12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23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</row>
    <row r="182" spans="1:66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123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</row>
    <row r="183" spans="1:66" ht="12.7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123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</row>
    <row r="184" spans="1:66" ht="12.7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23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</row>
    <row r="185" spans="1:66" ht="12.7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123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</row>
    <row r="186" spans="1:66" ht="12.7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123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</row>
    <row r="187" spans="1:66" ht="12.7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123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</row>
    <row r="188" spans="1:66" ht="12.7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123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</row>
    <row r="189" spans="1:66" ht="12.7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123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</row>
    <row r="190" spans="1:66" ht="12.7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123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</row>
    <row r="191" spans="1:66" ht="12.7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23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</row>
    <row r="192" spans="1:66" ht="12.7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123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</row>
    <row r="193" spans="1:66" ht="12.7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23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</row>
    <row r="194" spans="1:66" ht="12.7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123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</row>
    <row r="195" spans="1:66" ht="12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123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</row>
    <row r="196" spans="1:66" ht="12.7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23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</row>
    <row r="197" spans="1:66" ht="12.7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123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</row>
    <row r="198" spans="1:66" ht="12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23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</row>
    <row r="199" spans="1:66" ht="12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123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</row>
    <row r="200" spans="1:66" ht="12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123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</row>
    <row r="201" spans="1:66" ht="12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123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</row>
    <row r="202" spans="1:66" ht="12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123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</row>
    <row r="203" spans="1:66" ht="12.7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123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</row>
    <row r="204" spans="1:66" ht="12.7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123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</row>
    <row r="205" spans="1:66" ht="12.7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23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</row>
    <row r="206" spans="1:66" ht="12.7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123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</row>
    <row r="207" spans="1:66" ht="12.7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123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</row>
    <row r="208" spans="1:66" ht="12.7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123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</row>
    <row r="209" spans="1:66" ht="12.7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123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</row>
    <row r="210" spans="1:66" ht="12.7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123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</row>
    <row r="211" spans="1:66" ht="12.7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123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</row>
    <row r="212" spans="1:66" ht="12.7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123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</row>
    <row r="213" spans="1:66" ht="12.7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123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</row>
    <row r="214" spans="1:66" ht="12.7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123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</row>
    <row r="215" spans="1:66" ht="12.7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123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</row>
    <row r="216" spans="1:66" ht="12.7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123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</row>
    <row r="217" spans="1:66" ht="12.7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123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</row>
    <row r="218" spans="1:66" ht="12.7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123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</row>
    <row r="219" spans="1:66" ht="12.7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123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</row>
    <row r="220" spans="1:66" ht="12.7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123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</row>
    <row r="221" spans="1:66" ht="12.7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123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</row>
    <row r="222" spans="1:66" ht="12.7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123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</row>
    <row r="223" spans="1:66" ht="12.7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123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</row>
    <row r="224" spans="1:66" ht="12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123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</row>
    <row r="225" spans="1:66" ht="12.7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123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</row>
    <row r="226" spans="1:66" ht="12.7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123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</row>
    <row r="227" spans="1:66" ht="12.7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123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</row>
    <row r="228" spans="1:66" ht="12.7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123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</row>
    <row r="229" spans="1:66" ht="12.7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123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</row>
    <row r="230" spans="1:66" ht="12.7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123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</row>
    <row r="231" spans="1:66" ht="12.7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123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</row>
    <row r="232" spans="1:66" ht="12.7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123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</row>
    <row r="233" spans="1:66" ht="12.7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123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</row>
    <row r="234" spans="1:66" ht="12.7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123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</row>
    <row r="235" spans="1:66" ht="12.7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123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</row>
    <row r="236" spans="1:66" ht="12.7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123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</row>
    <row r="237" spans="1:66" ht="12.7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123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</row>
    <row r="238" spans="1:66" ht="12.7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123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</row>
    <row r="239" spans="1:66" ht="12.7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123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</row>
    <row r="240" spans="1:66" ht="12.7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123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</row>
    <row r="241" spans="1:66" ht="12.7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123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</row>
    <row r="242" spans="1:66" ht="12.7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123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</row>
    <row r="243" spans="1:66" ht="12.7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123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</row>
    <row r="244" spans="1:66" ht="12.7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123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</row>
    <row r="245" spans="1:66" ht="12.7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123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</row>
    <row r="246" spans="1:66" ht="12.7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123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</row>
    <row r="247" spans="1:66" ht="12.7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123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</row>
    <row r="248" spans="1:66" ht="12.7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123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</row>
    <row r="249" spans="1:66" ht="12.7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123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</row>
    <row r="250" spans="1:66" ht="12.7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123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</row>
    <row r="251" spans="1:66" ht="12.7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123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</row>
    <row r="252" spans="1:66" ht="12.7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123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</row>
    <row r="253" spans="1:66" ht="12.7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123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</row>
    <row r="254" spans="1:66" ht="12.7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123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</row>
    <row r="255" spans="1:66" ht="12.7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123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</row>
    <row r="256" spans="1:66" ht="12.7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123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</row>
    <row r="257" spans="1:66" ht="12.7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123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</row>
    <row r="258" spans="1:66" ht="12.7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123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</row>
    <row r="259" spans="1:66" ht="12.7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123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</row>
    <row r="260" spans="1:66" ht="12.7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123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</row>
    <row r="261" spans="1:66" ht="12.7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123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</row>
    <row r="262" spans="1:66" ht="12.7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123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</row>
    <row r="263" spans="1:66" ht="12.7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123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</row>
    <row r="264" spans="1:66" ht="12.7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123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</row>
    <row r="265" spans="1:66" ht="12.7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123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</row>
    <row r="266" spans="1:66" ht="12.7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123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</row>
    <row r="267" spans="1:66" ht="12.7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123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</row>
    <row r="268" spans="1:66" ht="12.7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123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</row>
    <row r="269" spans="1:66" ht="12.7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123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</row>
    <row r="270" spans="1:66" ht="12.7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123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</row>
    <row r="271" spans="1:66" ht="12.7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123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</row>
    <row r="272" spans="1:66" ht="12.7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123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</row>
    <row r="273" spans="1:66" ht="12.7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123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</row>
    <row r="274" spans="1:66" ht="12.7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123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</row>
    <row r="275" spans="1:66" ht="12.7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123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</row>
    <row r="276" spans="1:66" ht="12.7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123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</row>
    <row r="277" spans="1:66" ht="12.7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123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</row>
    <row r="278" spans="1:66" ht="12.7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123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</row>
    <row r="279" spans="1:66" ht="12.7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123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</row>
    <row r="280" spans="1:66" ht="12.7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123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</row>
    <row r="281" spans="1:66" ht="12.7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123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</row>
    <row r="282" spans="1:66" ht="12.7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123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</row>
    <row r="283" spans="1:66" ht="12.7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123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</row>
    <row r="284" spans="1:66" ht="12.7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123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</row>
    <row r="285" spans="1:66" ht="12.7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123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</row>
    <row r="286" spans="1:66" ht="12.7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123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</row>
    <row r="287" spans="1:66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123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</row>
    <row r="288" spans="1:66" ht="12.7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123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</row>
    <row r="289" spans="1:66" ht="12.7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123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</row>
    <row r="290" spans="1:66" ht="12.7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123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</row>
    <row r="291" spans="1:66" ht="12.7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123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</row>
    <row r="292" spans="1:66" ht="12.7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123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</row>
    <row r="293" spans="1:66" ht="12.7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123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</row>
    <row r="294" spans="1:66" ht="12.7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123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</row>
    <row r="295" spans="1:66" ht="12.7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123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</row>
    <row r="296" spans="1:66" ht="12.7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123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</row>
    <row r="297" spans="1:66" ht="12.7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123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</row>
    <row r="298" spans="1:66" ht="12.7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123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</row>
    <row r="299" spans="1:66" ht="12.7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123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</row>
    <row r="300" spans="1:66" ht="12.7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123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</row>
    <row r="301" spans="1:66" ht="12.7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123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</row>
    <row r="302" spans="1:66" ht="12.7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123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</row>
    <row r="303" spans="1:66" ht="12.7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123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</row>
    <row r="304" spans="1:66" ht="12.7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123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</row>
    <row r="305" spans="1:66" ht="12.7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123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</row>
    <row r="306" spans="1:66" ht="12.7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123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</row>
    <row r="307" spans="1:66" ht="12.7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123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</row>
    <row r="308" spans="1:66" ht="12.7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123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</row>
    <row r="309" spans="1:66" ht="12.7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123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</row>
    <row r="310" spans="1:66" ht="12.7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123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</row>
    <row r="311" spans="1:66" ht="12.7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123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</row>
    <row r="312" spans="1:66" ht="12.7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123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</row>
    <row r="313" spans="1:66" ht="12.7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123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</row>
    <row r="314" spans="1:66" ht="12.7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123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</row>
    <row r="315" spans="1:66" ht="12.7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123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</row>
    <row r="316" spans="1:66" ht="12.7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123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</row>
    <row r="317" spans="1:66" ht="12.7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123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</row>
    <row r="318" spans="1:66" ht="12.7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123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</row>
    <row r="319" spans="1:66" ht="12.7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123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</row>
    <row r="320" spans="1:66" ht="12.7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123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</row>
    <row r="321" spans="1:66" ht="12.7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123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</row>
    <row r="322" spans="1:66" ht="12.7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123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</row>
    <row r="323" spans="1:66" ht="12.7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123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</row>
    <row r="324" spans="1:66" ht="12.7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123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</row>
    <row r="325" spans="1:66" ht="12.7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123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</row>
    <row r="326" spans="1:66" ht="12.7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123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</row>
    <row r="327" spans="1:66" ht="12.7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123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</row>
    <row r="328" spans="1:66" ht="12.7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123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</row>
    <row r="329" spans="1:66" ht="12.7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123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</row>
    <row r="330" spans="1:66" ht="12.7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123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</row>
    <row r="331" spans="1:66" ht="12.7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123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</row>
    <row r="332" spans="1:66" ht="12.7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123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</row>
    <row r="333" spans="1:66" ht="12.7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123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</row>
    <row r="334" spans="1:66" ht="12.7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123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</row>
    <row r="335" spans="1:66" ht="12.7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123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</row>
    <row r="336" spans="1:66" ht="12.7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123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</row>
    <row r="337" spans="1:66" ht="12.7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123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</row>
    <row r="338" spans="1:66" ht="12.7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123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</row>
    <row r="339" spans="1:66" ht="12.7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123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</row>
    <row r="340" spans="1:66" ht="12.7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123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</row>
    <row r="341" spans="1:66" ht="12.7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123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</row>
    <row r="342" spans="1:66" ht="12.7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123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</row>
    <row r="343" spans="1:66" ht="12.7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123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</row>
    <row r="344" spans="1:66" ht="12.7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123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</row>
    <row r="345" spans="1:66" ht="12.7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123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</row>
    <row r="346" spans="1:66" ht="12.7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123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</row>
    <row r="347" spans="1:66" ht="12.7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123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</row>
    <row r="348" spans="1:66" ht="12.7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123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</row>
    <row r="349" spans="1:66" ht="12.7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123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</row>
    <row r="350" spans="1:66" ht="12.7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123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</row>
    <row r="351" spans="1:66" ht="12.7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123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</row>
    <row r="352" spans="1:66" ht="12.7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123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</row>
    <row r="353" spans="1:66" ht="12.7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123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</row>
    <row r="354" spans="1:66" ht="12.7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123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</row>
    <row r="355" spans="1:66" ht="12.7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123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</row>
    <row r="356" spans="1:66" ht="12.7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123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</row>
    <row r="357" spans="1:66" ht="12.7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123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</row>
    <row r="358" spans="1:66" ht="12.7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123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</row>
    <row r="359" spans="1:66" ht="12.7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123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</row>
    <row r="360" spans="1:66" ht="12.7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123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</row>
    <row r="361" spans="1:66" ht="12.7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123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</row>
    <row r="362" spans="1:66" ht="12.7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123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</row>
    <row r="363" spans="1:66" ht="12.7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123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</row>
    <row r="364" spans="1:66" ht="12.7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123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</row>
    <row r="365" spans="1:66" ht="12.7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123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</row>
    <row r="366" spans="1:66" ht="12.7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123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</row>
    <row r="367" spans="1:66" ht="12.7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123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</row>
    <row r="368" spans="1:66" ht="12.7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123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</row>
    <row r="369" spans="1:66" ht="12.7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123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</row>
    <row r="370" spans="1:66" ht="12.7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123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</row>
    <row r="371" spans="1:66" ht="12.7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123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</row>
    <row r="372" spans="1:66" ht="12.7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123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</row>
    <row r="373" spans="1:66" ht="12.7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123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</row>
    <row r="374" spans="1:66" ht="12.7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123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</row>
    <row r="375" spans="1:66" ht="12.7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123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</row>
    <row r="376" spans="1:66" ht="12.7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123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</row>
    <row r="377" spans="1:66" ht="12.7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123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</row>
    <row r="378" spans="1:66" ht="12.7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123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</row>
    <row r="379" spans="1:66" ht="12.7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123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</row>
    <row r="380" spans="1:66" ht="12.7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123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</row>
    <row r="381" spans="1:66" ht="12.7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123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</row>
    <row r="382" spans="1:66" ht="12.7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123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</row>
    <row r="383" spans="1:66" ht="12.7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123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</row>
    <row r="384" spans="1:66" ht="12.7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123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</row>
    <row r="385" spans="1:66" ht="12.7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123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</row>
    <row r="386" spans="1:66" ht="12.7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123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</row>
    <row r="387" spans="1:66" ht="12.7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123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</row>
    <row r="388" spans="1:66" ht="12.7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123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</row>
    <row r="389" spans="1:66" ht="12.7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123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</row>
    <row r="390" spans="1:66" ht="12.7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123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</row>
    <row r="391" spans="1:66" ht="12.7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123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</row>
    <row r="392" spans="1:66" ht="12.7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123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</row>
    <row r="393" spans="1:66" ht="12.7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123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</row>
    <row r="394" spans="1:66" ht="12.7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123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</row>
    <row r="395" spans="1:66" ht="12.7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123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</row>
    <row r="396" spans="1:66" ht="12.7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123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</row>
    <row r="397" spans="1:66" ht="12.7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123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</row>
    <row r="398" spans="1:66" ht="12.7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123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</row>
    <row r="399" spans="1:66" ht="12.7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123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</row>
    <row r="400" spans="1:66" ht="12.7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123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</row>
    <row r="401" spans="1:66" ht="12.7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123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</row>
    <row r="402" spans="1:66" ht="12.7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123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</row>
    <row r="403" spans="1:66" ht="12.7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123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</row>
    <row r="404" spans="1:66" ht="12.7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123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</row>
    <row r="405" spans="1:66" ht="12.7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123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</row>
    <row r="406" spans="1:66" ht="12.7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123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</row>
    <row r="407" spans="1:66" ht="12.7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123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</row>
    <row r="408" spans="1:66" ht="12.7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123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</row>
    <row r="409" spans="1:66" ht="12.7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123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</row>
    <row r="410" spans="1:66" ht="12.7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123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</row>
    <row r="411" spans="1:66" ht="12.7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123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</row>
    <row r="412" spans="1:66" ht="12.7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123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</row>
    <row r="413" spans="1:66" ht="12.7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123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</row>
    <row r="414" spans="1:66" ht="12.7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123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</row>
    <row r="415" spans="1:66" ht="12.7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123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</row>
    <row r="416" spans="1:66" ht="12.7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123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</row>
    <row r="417" spans="1:66" ht="12.7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123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</row>
    <row r="418" spans="1:66" ht="12.7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123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</row>
    <row r="419" spans="1:66" ht="12.7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123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</row>
    <row r="420" spans="1:66" ht="12.7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123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</row>
    <row r="421" spans="1:66" ht="12.7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123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</row>
    <row r="422" spans="1:66" ht="12.7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123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</row>
    <row r="423" spans="1:66" ht="12.7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123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</row>
    <row r="424" spans="1:66" ht="12.7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123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</row>
    <row r="425" spans="1:66" ht="12.7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123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</row>
    <row r="426" spans="1:66" ht="12.7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123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</row>
    <row r="427" spans="1:66" ht="12.7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123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</row>
    <row r="428" spans="1:66" ht="12.7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123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</row>
    <row r="429" spans="1:66" ht="12.7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123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</row>
    <row r="430" spans="1:66" ht="12.7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123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</row>
    <row r="431" spans="1:66" ht="12.7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123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</row>
    <row r="432" spans="1:66" ht="12.7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123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N432" s="74"/>
    </row>
    <row r="433" spans="1:66" ht="12.7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123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</row>
    <row r="434" spans="1:66" ht="12.7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123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</row>
    <row r="435" spans="1:66" ht="12.7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123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</row>
    <row r="436" spans="1:66" ht="12.7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123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</row>
    <row r="437" spans="1:66" ht="12.7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123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</row>
    <row r="438" spans="1:66" ht="12.7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123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</row>
    <row r="439" spans="1:66" ht="12.7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123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</row>
    <row r="440" spans="1:66" ht="12.7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123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</row>
    <row r="441" spans="1:66" ht="12.7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123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</row>
    <row r="442" spans="1:66" ht="12.7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123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</row>
    <row r="443" spans="1:66" ht="12.7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123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</row>
    <row r="444" spans="1:66" ht="12.7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123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</row>
    <row r="445" spans="1:66" ht="12.7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123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</row>
    <row r="446" spans="1:66" ht="12.7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123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</row>
    <row r="447" spans="1:66" ht="12.7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123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4"/>
      <c r="BM447" s="74"/>
      <c r="BN447" s="74"/>
    </row>
    <row r="448" spans="1:66" ht="12.7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123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4"/>
      <c r="BM448" s="74"/>
      <c r="BN448" s="74"/>
    </row>
    <row r="449" spans="1:66" ht="12.7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123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4"/>
      <c r="BM449" s="74"/>
      <c r="BN449" s="74"/>
    </row>
    <row r="450" spans="1:66" ht="12.7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123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</row>
    <row r="451" spans="1:66" ht="12.7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123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</row>
    <row r="452" spans="1:66" ht="12.7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123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</row>
    <row r="453" spans="1:66" ht="12.7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123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74"/>
      <c r="BL453" s="74"/>
      <c r="BM453" s="74"/>
      <c r="BN453" s="74"/>
    </row>
    <row r="454" spans="1:66" ht="12.7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123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4"/>
      <c r="BM454" s="74"/>
      <c r="BN454" s="74"/>
    </row>
    <row r="455" spans="1:66" ht="12.7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123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</row>
    <row r="456" spans="1:66" ht="12.7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123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</row>
    <row r="457" spans="1:66" ht="12.7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123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</row>
    <row r="458" spans="1:66" ht="12.7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123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</row>
    <row r="459" spans="1:66" ht="12.7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123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</row>
    <row r="460" spans="1:66" ht="12.7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123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</row>
    <row r="461" spans="1:66" ht="12.7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123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</row>
    <row r="462" spans="1:66" ht="12.7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123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</row>
    <row r="463" spans="1:66" ht="12.7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123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</row>
    <row r="464" spans="1:66" ht="12.7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123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</row>
    <row r="465" spans="1:66" ht="12.7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123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</row>
    <row r="466" spans="1:66" ht="12.7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123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  <c r="BK466" s="74"/>
      <c r="BL466" s="74"/>
      <c r="BM466" s="74"/>
      <c r="BN466" s="74"/>
    </row>
    <row r="467" spans="1:66" ht="12.7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123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  <c r="BK467" s="74"/>
      <c r="BL467" s="74"/>
      <c r="BM467" s="74"/>
      <c r="BN467" s="74"/>
    </row>
    <row r="468" spans="1:66" ht="12.7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123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</row>
    <row r="469" spans="1:66" ht="12.75">
      <c r="A469" s="74"/>
      <c r="B469" s="74"/>
      <c r="C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123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</row>
  </sheetData>
  <mergeCells count="24">
    <mergeCell ref="I6:L7"/>
    <mergeCell ref="M6:P7"/>
    <mergeCell ref="Q6:Q8"/>
    <mergeCell ref="E6:E8"/>
    <mergeCell ref="F6:F8"/>
    <mergeCell ref="G6:G8"/>
    <mergeCell ref="H6:H8"/>
    <mergeCell ref="A6:A8"/>
    <mergeCell ref="B6:B8"/>
    <mergeCell ref="C6:C8"/>
    <mergeCell ref="D6:D8"/>
    <mergeCell ref="AB6:AB8"/>
    <mergeCell ref="X6:X8"/>
    <mergeCell ref="Y6:Y8"/>
    <mergeCell ref="Z6:Z8"/>
    <mergeCell ref="AA6:AA8"/>
    <mergeCell ref="V6:V8"/>
    <mergeCell ref="W6:W8"/>
    <mergeCell ref="U7:U8"/>
    <mergeCell ref="R7:R8"/>
    <mergeCell ref="S7:S8"/>
    <mergeCell ref="T7:T8"/>
    <mergeCell ref="R6:S6"/>
    <mergeCell ref="T6:U6"/>
  </mergeCells>
  <printOptions/>
  <pageMargins left="0.5" right="0.5" top="1.65" bottom="1.66" header="0.5" footer="0.5"/>
  <pageSetup horizontalDpi="600" verticalDpi="600" orientation="landscape" pageOrder="overThenDown" r:id="rId3"/>
  <headerFooter alignWithMargins="0">
    <oddHeader>&amp;L
Chevron Products Company
Site Name:  Salt Lake Refinery
Site ID:  10119&amp;C&amp;"Arial,Bold"Regional Haze
&amp;"Arial,Regular"1996 Statewide SOx Sources</oddHeader>
    <oddFooter>&amp;R&amp;D
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35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9.57421875" style="0" customWidth="1"/>
    <col min="4" max="4" width="9.7109375" style="0" customWidth="1"/>
    <col min="5" max="5" width="24.421875" style="0" customWidth="1"/>
    <col min="6" max="6" width="8.421875" style="0" customWidth="1"/>
    <col min="7" max="7" width="10.421875" style="0" customWidth="1"/>
    <col min="8" max="8" width="16.8515625" style="0" customWidth="1"/>
    <col min="9" max="9" width="8.57421875" style="0" customWidth="1"/>
    <col min="10" max="10" width="11.8515625" style="0" customWidth="1"/>
    <col min="12" max="12" width="8.57421875" style="0" customWidth="1"/>
    <col min="13" max="13" width="8.140625" style="0" customWidth="1"/>
    <col min="14" max="15" width="7.28125" style="0" customWidth="1"/>
    <col min="16" max="16" width="6.00390625" style="0" customWidth="1"/>
    <col min="18" max="18" width="15.00390625" style="0" customWidth="1"/>
    <col min="20" max="20" width="18.28125" style="0" customWidth="1"/>
    <col min="22" max="22" width="9.7109375" style="0" customWidth="1"/>
    <col min="23" max="23" width="10.28125" style="0" customWidth="1"/>
    <col min="24" max="24" width="11.421875" style="0" customWidth="1"/>
    <col min="25" max="25" width="8.421875" style="0" customWidth="1"/>
    <col min="27" max="27" width="11.00390625" style="0" customWidth="1"/>
    <col min="28" max="28" width="31.57421875" style="0" customWidth="1"/>
  </cols>
  <sheetData>
    <row r="1" spans="2:5" ht="15.75">
      <c r="B1" s="14"/>
      <c r="E1" s="4" t="s">
        <v>44</v>
      </c>
    </row>
    <row r="2" spans="1:5" ht="15.75">
      <c r="A2" s="69"/>
      <c r="B2" s="14"/>
      <c r="E2" s="4"/>
    </row>
    <row r="3" spans="1:5" ht="15.75">
      <c r="A3" s="7" t="s">
        <v>200</v>
      </c>
      <c r="B3" s="14"/>
      <c r="E3" s="4"/>
    </row>
    <row r="4" spans="1:5" ht="15">
      <c r="A4" s="14" t="s">
        <v>235</v>
      </c>
      <c r="B4" s="14"/>
      <c r="E4" s="5" t="s">
        <v>199</v>
      </c>
    </row>
    <row r="5" spans="1:3" ht="12.75">
      <c r="A5" s="14" t="s">
        <v>13</v>
      </c>
      <c r="B5" s="14" t="s">
        <v>14</v>
      </c>
      <c r="C5" s="7" t="s">
        <v>201</v>
      </c>
    </row>
    <row r="6" spans="1:2" ht="12.75">
      <c r="A6" s="24">
        <v>10313</v>
      </c>
      <c r="B6" s="14"/>
    </row>
    <row r="7" spans="1:45" ht="13.5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</row>
    <row r="8" spans="1:66" ht="16.5" customHeight="1">
      <c r="A8" s="512" t="s">
        <v>43</v>
      </c>
      <c r="B8" s="515" t="s">
        <v>29</v>
      </c>
      <c r="C8" s="503" t="s">
        <v>28</v>
      </c>
      <c r="D8" s="503" t="s">
        <v>27</v>
      </c>
      <c r="E8" s="503" t="s">
        <v>26</v>
      </c>
      <c r="F8" s="503" t="s">
        <v>23</v>
      </c>
      <c r="G8" s="503" t="s">
        <v>24</v>
      </c>
      <c r="H8" s="503" t="s">
        <v>25</v>
      </c>
      <c r="I8" s="545" t="s">
        <v>451</v>
      </c>
      <c r="J8" s="578"/>
      <c r="K8" s="578"/>
      <c r="L8" s="579"/>
      <c r="M8" s="584" t="s">
        <v>15</v>
      </c>
      <c r="N8" s="578"/>
      <c r="O8" s="578"/>
      <c r="P8" s="578"/>
      <c r="Q8" s="503" t="s">
        <v>32</v>
      </c>
      <c r="R8" s="545" t="s">
        <v>30</v>
      </c>
      <c r="S8" s="545"/>
      <c r="T8" s="545" t="s">
        <v>31</v>
      </c>
      <c r="U8" s="545"/>
      <c r="V8" s="503" t="s">
        <v>40</v>
      </c>
      <c r="W8" s="582" t="s">
        <v>286</v>
      </c>
      <c r="X8" s="503" t="s">
        <v>34</v>
      </c>
      <c r="Y8" s="503" t="s">
        <v>36</v>
      </c>
      <c r="Z8" s="503" t="s">
        <v>37</v>
      </c>
      <c r="AA8" s="503" t="s">
        <v>38</v>
      </c>
      <c r="AB8" s="573" t="s">
        <v>39</v>
      </c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66" s="1" customFormat="1" ht="24.75" customHeight="1">
      <c r="A9" s="576"/>
      <c r="B9" s="581"/>
      <c r="C9" s="577"/>
      <c r="D9" s="577"/>
      <c r="E9" s="577"/>
      <c r="F9" s="577"/>
      <c r="G9" s="577"/>
      <c r="H9" s="577"/>
      <c r="I9" s="577"/>
      <c r="J9" s="577"/>
      <c r="K9" s="577"/>
      <c r="L9" s="580"/>
      <c r="M9" s="585"/>
      <c r="N9" s="577"/>
      <c r="O9" s="577"/>
      <c r="P9" s="577"/>
      <c r="Q9" s="572"/>
      <c r="R9" s="528" t="s">
        <v>41</v>
      </c>
      <c r="S9" s="528" t="s">
        <v>33</v>
      </c>
      <c r="T9" s="528" t="s">
        <v>42</v>
      </c>
      <c r="U9" s="528" t="s">
        <v>33</v>
      </c>
      <c r="V9" s="528"/>
      <c r="W9" s="583"/>
      <c r="X9" s="528"/>
      <c r="Y9" s="528"/>
      <c r="Z9" s="528"/>
      <c r="AA9" s="572"/>
      <c r="AB9" s="574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</row>
    <row r="10" spans="1:66" ht="25.5" customHeight="1">
      <c r="A10" s="576"/>
      <c r="B10" s="581"/>
      <c r="C10" s="577"/>
      <c r="D10" s="577"/>
      <c r="E10" s="577"/>
      <c r="F10" s="577"/>
      <c r="G10" s="577"/>
      <c r="H10" s="577"/>
      <c r="I10" s="66" t="s">
        <v>17</v>
      </c>
      <c r="J10" s="66" t="s">
        <v>18</v>
      </c>
      <c r="K10" s="66" t="s">
        <v>16</v>
      </c>
      <c r="L10" s="150" t="s">
        <v>19</v>
      </c>
      <c r="M10" s="72" t="s">
        <v>20</v>
      </c>
      <c r="N10" s="66" t="s">
        <v>19</v>
      </c>
      <c r="O10" s="66" t="s">
        <v>21</v>
      </c>
      <c r="P10" s="66" t="s">
        <v>22</v>
      </c>
      <c r="Q10" s="572"/>
      <c r="R10" s="528"/>
      <c r="S10" s="528"/>
      <c r="T10" s="572"/>
      <c r="U10" s="528"/>
      <c r="V10" s="528"/>
      <c r="W10" s="583"/>
      <c r="X10" s="528"/>
      <c r="Y10" s="528"/>
      <c r="Z10" s="528"/>
      <c r="AA10" s="572"/>
      <c r="AB10" s="5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</row>
    <row r="11" spans="1:45" s="9" customFormat="1" ht="12.75">
      <c r="A11" s="190" t="s">
        <v>97</v>
      </c>
      <c r="B11" s="194">
        <v>982</v>
      </c>
      <c r="C11" s="145" t="s">
        <v>202</v>
      </c>
      <c r="D11" s="131">
        <v>20200301</v>
      </c>
      <c r="E11" s="145" t="s">
        <v>203</v>
      </c>
      <c r="F11" s="131" t="s">
        <v>75</v>
      </c>
      <c r="G11" s="131">
        <v>0</v>
      </c>
      <c r="H11" s="145" t="s">
        <v>204</v>
      </c>
      <c r="I11" s="131">
        <v>16.955</v>
      </c>
      <c r="J11" s="145" t="s">
        <v>798</v>
      </c>
      <c r="K11" s="131">
        <v>0</v>
      </c>
      <c r="L11" s="165">
        <v>0</v>
      </c>
      <c r="M11" s="192">
        <v>0</v>
      </c>
      <c r="N11" s="131">
        <v>0</v>
      </c>
      <c r="O11" s="131">
        <v>0</v>
      </c>
      <c r="P11" s="131">
        <v>0</v>
      </c>
      <c r="Q11" s="145" t="s">
        <v>52</v>
      </c>
      <c r="R11" s="145"/>
      <c r="S11" s="145"/>
      <c r="T11" s="145"/>
      <c r="U11" s="145"/>
      <c r="V11" s="145"/>
      <c r="W11" s="184">
        <f>Z11*I11/2000</f>
        <v>0.044761199999999994</v>
      </c>
      <c r="X11" s="184"/>
      <c r="Y11" s="131">
        <v>3</v>
      </c>
      <c r="Z11" s="131">
        <v>5.28</v>
      </c>
      <c r="AA11" s="145" t="s">
        <v>799</v>
      </c>
      <c r="AB11" s="153" t="s">
        <v>205</v>
      </c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</row>
    <row r="12" spans="1:45" s="9" customFormat="1" ht="12.75">
      <c r="A12" s="190" t="s">
        <v>97</v>
      </c>
      <c r="B12" s="194">
        <v>1030</v>
      </c>
      <c r="C12" s="145" t="s">
        <v>69</v>
      </c>
      <c r="D12" s="131">
        <v>20200101</v>
      </c>
      <c r="E12" s="145" t="s">
        <v>206</v>
      </c>
      <c r="F12" s="131" t="s">
        <v>75</v>
      </c>
      <c r="G12" s="131">
        <v>0</v>
      </c>
      <c r="H12" s="145" t="s">
        <v>207</v>
      </c>
      <c r="I12" s="131">
        <v>4.747</v>
      </c>
      <c r="J12" s="145" t="s">
        <v>798</v>
      </c>
      <c r="K12" s="131">
        <v>0</v>
      </c>
      <c r="L12" s="165">
        <v>0</v>
      </c>
      <c r="M12" s="192">
        <v>0</v>
      </c>
      <c r="N12" s="131">
        <v>0</v>
      </c>
      <c r="O12" s="131">
        <v>0</v>
      </c>
      <c r="P12" s="131">
        <v>0</v>
      </c>
      <c r="Q12" s="145" t="s">
        <v>52</v>
      </c>
      <c r="R12" s="145"/>
      <c r="S12" s="145"/>
      <c r="T12" s="145"/>
      <c r="U12" s="145"/>
      <c r="V12" s="145"/>
      <c r="W12" s="184">
        <f>Z12*I12/2000</f>
        <v>0.07381585</v>
      </c>
      <c r="X12" s="184"/>
      <c r="Y12" s="131">
        <v>3</v>
      </c>
      <c r="Z12" s="131">
        <v>31.1</v>
      </c>
      <c r="AA12" s="145" t="s">
        <v>799</v>
      </c>
      <c r="AB12" s="153" t="s">
        <v>208</v>
      </c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</row>
    <row r="13" spans="1:45" s="9" customFormat="1" ht="12.75">
      <c r="A13" s="190" t="s">
        <v>97</v>
      </c>
      <c r="B13" s="194">
        <v>1197</v>
      </c>
      <c r="C13" s="145" t="s">
        <v>67</v>
      </c>
      <c r="D13" s="131">
        <v>20200101</v>
      </c>
      <c r="E13" s="145" t="s">
        <v>209</v>
      </c>
      <c r="F13" s="131" t="s">
        <v>75</v>
      </c>
      <c r="G13" s="131">
        <v>0</v>
      </c>
      <c r="H13" s="145" t="s">
        <v>207</v>
      </c>
      <c r="I13" s="131">
        <v>5.845</v>
      </c>
      <c r="J13" s="145" t="s">
        <v>798</v>
      </c>
      <c r="K13" s="131">
        <v>0</v>
      </c>
      <c r="L13" s="165">
        <v>0</v>
      </c>
      <c r="M13" s="192">
        <v>0</v>
      </c>
      <c r="N13" s="131">
        <v>0</v>
      </c>
      <c r="O13" s="131">
        <v>0</v>
      </c>
      <c r="P13" s="131">
        <v>0</v>
      </c>
      <c r="Q13" s="145" t="s">
        <v>52</v>
      </c>
      <c r="R13" s="145"/>
      <c r="S13" s="145"/>
      <c r="T13" s="145"/>
      <c r="U13" s="145"/>
      <c r="V13" s="145"/>
      <c r="W13" s="184">
        <f>Z13*I13/2000</f>
        <v>0.09147425</v>
      </c>
      <c r="X13" s="184"/>
      <c r="Y13" s="131">
        <v>3</v>
      </c>
      <c r="Z13" s="131">
        <v>31.3</v>
      </c>
      <c r="AA13" s="145" t="s">
        <v>799</v>
      </c>
      <c r="AB13" s="153" t="s">
        <v>208</v>
      </c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</row>
    <row r="14" spans="1:45" s="9" customFormat="1" ht="12.75">
      <c r="A14" s="190" t="s">
        <v>97</v>
      </c>
      <c r="B14" s="194">
        <v>1198</v>
      </c>
      <c r="C14" s="145" t="s">
        <v>48</v>
      </c>
      <c r="D14" s="131">
        <v>20200101</v>
      </c>
      <c r="E14" s="145" t="s">
        <v>210</v>
      </c>
      <c r="F14" s="131" t="s">
        <v>75</v>
      </c>
      <c r="G14" s="131">
        <v>0</v>
      </c>
      <c r="H14" s="145" t="s">
        <v>207</v>
      </c>
      <c r="I14" s="131">
        <v>84.096</v>
      </c>
      <c r="J14" s="145" t="s">
        <v>798</v>
      </c>
      <c r="K14" s="131">
        <v>0</v>
      </c>
      <c r="L14" s="165">
        <v>0</v>
      </c>
      <c r="M14" s="192">
        <v>0</v>
      </c>
      <c r="N14" s="131">
        <v>0</v>
      </c>
      <c r="O14" s="131">
        <v>0</v>
      </c>
      <c r="P14" s="131">
        <v>0</v>
      </c>
      <c r="Q14" s="145" t="s">
        <v>52</v>
      </c>
      <c r="R14" s="145"/>
      <c r="S14" s="145"/>
      <c r="T14" s="145"/>
      <c r="U14" s="145"/>
      <c r="V14" s="145"/>
      <c r="W14" s="184">
        <f>Z14*I14/2000</f>
        <v>1.3118976</v>
      </c>
      <c r="X14" s="184"/>
      <c r="Y14" s="131">
        <v>3</v>
      </c>
      <c r="Z14" s="131">
        <v>31.2</v>
      </c>
      <c r="AA14" s="145" t="s">
        <v>799</v>
      </c>
      <c r="AB14" s="153" t="s">
        <v>208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</row>
    <row r="15" spans="1:45" s="9" customFormat="1" ht="12.75">
      <c r="A15" s="190" t="s">
        <v>97</v>
      </c>
      <c r="B15" s="194">
        <v>1199</v>
      </c>
      <c r="C15" s="145" t="s">
        <v>63</v>
      </c>
      <c r="D15" s="131">
        <v>20200101</v>
      </c>
      <c r="E15" s="145" t="s">
        <v>211</v>
      </c>
      <c r="F15" s="131" t="s">
        <v>75</v>
      </c>
      <c r="G15" s="131">
        <v>0</v>
      </c>
      <c r="H15" s="145" t="s">
        <v>207</v>
      </c>
      <c r="I15" s="131">
        <v>89.323</v>
      </c>
      <c r="J15" s="145" t="s">
        <v>798</v>
      </c>
      <c r="K15" s="131">
        <v>0</v>
      </c>
      <c r="L15" s="165">
        <v>0</v>
      </c>
      <c r="M15" s="192">
        <v>0</v>
      </c>
      <c r="N15" s="131">
        <v>0</v>
      </c>
      <c r="O15" s="131">
        <v>0</v>
      </c>
      <c r="P15" s="131">
        <v>0</v>
      </c>
      <c r="Q15" s="145" t="s">
        <v>52</v>
      </c>
      <c r="R15" s="145"/>
      <c r="S15" s="145"/>
      <c r="T15" s="145"/>
      <c r="U15" s="145"/>
      <c r="V15" s="145"/>
      <c r="W15" s="184">
        <f>Z15*I15/2000</f>
        <v>1.3934388</v>
      </c>
      <c r="X15" s="184"/>
      <c r="Y15" s="131">
        <v>3</v>
      </c>
      <c r="Z15" s="131">
        <v>31.2</v>
      </c>
      <c r="AA15" s="145" t="s">
        <v>799</v>
      </c>
      <c r="AB15" s="153" t="s">
        <v>208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</row>
    <row r="16" spans="1:45" s="9" customFormat="1" ht="12.75">
      <c r="A16" s="190" t="s">
        <v>48</v>
      </c>
      <c r="B16" s="194">
        <v>1306</v>
      </c>
      <c r="C16" s="145" t="s">
        <v>212</v>
      </c>
      <c r="D16" s="131">
        <v>30501604</v>
      </c>
      <c r="E16" s="145" t="s">
        <v>213</v>
      </c>
      <c r="F16" s="131" t="s">
        <v>76</v>
      </c>
      <c r="G16" s="131">
        <v>71</v>
      </c>
      <c r="H16" s="145" t="s">
        <v>822</v>
      </c>
      <c r="I16" s="131">
        <v>8051.3</v>
      </c>
      <c r="J16" s="145" t="s">
        <v>778</v>
      </c>
      <c r="K16" s="131">
        <v>600</v>
      </c>
      <c r="L16" s="165" t="s">
        <v>236</v>
      </c>
      <c r="M16" s="192">
        <v>0</v>
      </c>
      <c r="N16" s="131">
        <v>0</v>
      </c>
      <c r="O16" s="131">
        <v>0</v>
      </c>
      <c r="P16" s="131">
        <v>0</v>
      </c>
      <c r="Q16" s="145" t="s">
        <v>52</v>
      </c>
      <c r="R16" s="145"/>
      <c r="S16" s="145"/>
      <c r="T16" s="145"/>
      <c r="U16" s="145"/>
      <c r="V16" s="185">
        <v>0.001</v>
      </c>
      <c r="W16" s="184">
        <f>Z16*I16/2000+(90.23*V16)</f>
        <v>90.26479</v>
      </c>
      <c r="X16" s="184"/>
      <c r="Y16" s="131">
        <v>5</v>
      </c>
      <c r="Z16" s="131">
        <v>22.4</v>
      </c>
      <c r="AA16" s="145" t="s">
        <v>800</v>
      </c>
      <c r="AB16" s="153" t="s">
        <v>215</v>
      </c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</row>
    <row r="17" spans="1:45" s="9" customFormat="1" ht="12.75">
      <c r="A17" s="190" t="s">
        <v>48</v>
      </c>
      <c r="B17" s="194">
        <v>1307</v>
      </c>
      <c r="C17" s="145" t="s">
        <v>216</v>
      </c>
      <c r="D17" s="131">
        <v>30501604</v>
      </c>
      <c r="E17" s="145" t="s">
        <v>217</v>
      </c>
      <c r="F17" s="131" t="s">
        <v>76</v>
      </c>
      <c r="G17" s="131">
        <v>72</v>
      </c>
      <c r="H17" s="145" t="s">
        <v>822</v>
      </c>
      <c r="I17" s="131">
        <v>7761</v>
      </c>
      <c r="J17" s="145" t="s">
        <v>778</v>
      </c>
      <c r="K17" s="131">
        <v>600</v>
      </c>
      <c r="L17" s="165" t="s">
        <v>236</v>
      </c>
      <c r="M17" s="192">
        <v>0</v>
      </c>
      <c r="N17" s="131">
        <v>0</v>
      </c>
      <c r="O17" s="131">
        <v>0</v>
      </c>
      <c r="P17" s="131">
        <v>0</v>
      </c>
      <c r="Q17" s="145" t="s">
        <v>52</v>
      </c>
      <c r="R17" s="145"/>
      <c r="S17" s="145"/>
      <c r="T17" s="145"/>
      <c r="U17" s="145"/>
      <c r="V17" s="185">
        <v>0.018</v>
      </c>
      <c r="W17" s="184">
        <f>Z17*I17/2000+(90.23*V17)</f>
        <v>88.54733999999999</v>
      </c>
      <c r="X17" s="184"/>
      <c r="Y17" s="131">
        <v>5</v>
      </c>
      <c r="Z17" s="131">
        <v>22.4</v>
      </c>
      <c r="AA17" s="145" t="s">
        <v>800</v>
      </c>
      <c r="AB17" s="153" t="s">
        <v>215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</row>
    <row r="18" spans="1:45" s="9" customFormat="1" ht="12.75">
      <c r="A18" s="190" t="s">
        <v>48</v>
      </c>
      <c r="B18" s="194">
        <v>1308</v>
      </c>
      <c r="C18" s="145" t="s">
        <v>218</v>
      </c>
      <c r="D18" s="131">
        <v>30501604</v>
      </c>
      <c r="E18" s="145" t="s">
        <v>219</v>
      </c>
      <c r="F18" s="131" t="s">
        <v>76</v>
      </c>
      <c r="G18" s="131">
        <v>73</v>
      </c>
      <c r="H18" s="145" t="s">
        <v>822</v>
      </c>
      <c r="I18" s="131">
        <v>8239.4</v>
      </c>
      <c r="J18" s="145" t="s">
        <v>778</v>
      </c>
      <c r="K18" s="131">
        <v>840</v>
      </c>
      <c r="L18" s="165" t="s">
        <v>236</v>
      </c>
      <c r="M18" s="192">
        <v>0</v>
      </c>
      <c r="N18" s="131">
        <v>0</v>
      </c>
      <c r="O18" s="131">
        <v>0</v>
      </c>
      <c r="P18" s="131">
        <v>0</v>
      </c>
      <c r="Q18" s="145" t="s">
        <v>52</v>
      </c>
      <c r="R18" s="145"/>
      <c r="S18" s="145"/>
      <c r="T18" s="145"/>
      <c r="U18" s="145"/>
      <c r="V18" s="185">
        <v>0.023</v>
      </c>
      <c r="W18" s="184">
        <f>Z18*I18/2000+(90.23*V18)</f>
        <v>114.13113</v>
      </c>
      <c r="X18" s="184"/>
      <c r="Y18" s="131">
        <v>5</v>
      </c>
      <c r="Z18" s="131">
        <v>27.2</v>
      </c>
      <c r="AA18" s="145" t="s">
        <v>800</v>
      </c>
      <c r="AB18" s="153" t="s">
        <v>215</v>
      </c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19" spans="1:45" s="9" customFormat="1" ht="12.75">
      <c r="A19" s="190" t="s">
        <v>97</v>
      </c>
      <c r="B19" s="194">
        <v>9664</v>
      </c>
      <c r="C19" s="145" t="s">
        <v>220</v>
      </c>
      <c r="D19" s="131">
        <v>20200101</v>
      </c>
      <c r="E19" s="145" t="s">
        <v>221</v>
      </c>
      <c r="F19" s="131" t="s">
        <v>75</v>
      </c>
      <c r="G19" s="131">
        <v>0</v>
      </c>
      <c r="H19" s="145" t="s">
        <v>207</v>
      </c>
      <c r="I19" s="131">
        <v>4.695</v>
      </c>
      <c r="J19" s="67" t="s">
        <v>798</v>
      </c>
      <c r="K19" s="131">
        <v>0</v>
      </c>
      <c r="L19" s="165">
        <v>0</v>
      </c>
      <c r="M19" s="192">
        <v>0</v>
      </c>
      <c r="N19" s="131">
        <v>0</v>
      </c>
      <c r="O19" s="131">
        <v>0</v>
      </c>
      <c r="P19" s="131">
        <v>0</v>
      </c>
      <c r="Q19" s="145" t="s">
        <v>52</v>
      </c>
      <c r="R19" s="145"/>
      <c r="S19" s="145"/>
      <c r="T19" s="145"/>
      <c r="U19" s="145"/>
      <c r="V19" s="145"/>
      <c r="W19" s="184">
        <f aca="true" t="shared" si="0" ref="W19:W24">Z19*I19/2000</f>
        <v>0.073242</v>
      </c>
      <c r="X19" s="184"/>
      <c r="Y19" s="131">
        <v>3</v>
      </c>
      <c r="Z19" s="131">
        <v>31.2</v>
      </c>
      <c r="AA19" s="145" t="s">
        <v>799</v>
      </c>
      <c r="AB19" s="153" t="s">
        <v>208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</row>
    <row r="20" spans="1:45" s="9" customFormat="1" ht="12.75">
      <c r="A20" s="190" t="s">
        <v>97</v>
      </c>
      <c r="B20" s="194">
        <v>9665</v>
      </c>
      <c r="C20" s="145" t="s">
        <v>222</v>
      </c>
      <c r="D20" s="131">
        <v>20200101</v>
      </c>
      <c r="E20" s="145" t="s">
        <v>223</v>
      </c>
      <c r="F20" s="131" t="s">
        <v>75</v>
      </c>
      <c r="G20" s="131">
        <v>0</v>
      </c>
      <c r="H20" s="145" t="s">
        <v>207</v>
      </c>
      <c r="I20" s="131">
        <v>1.186</v>
      </c>
      <c r="J20" s="67" t="s">
        <v>798</v>
      </c>
      <c r="K20" s="131">
        <v>0</v>
      </c>
      <c r="L20" s="165">
        <v>0</v>
      </c>
      <c r="M20" s="192">
        <v>0</v>
      </c>
      <c r="N20" s="131">
        <v>0</v>
      </c>
      <c r="O20" s="131">
        <v>0</v>
      </c>
      <c r="P20" s="131">
        <v>0</v>
      </c>
      <c r="Q20" s="145" t="s">
        <v>52</v>
      </c>
      <c r="R20" s="145"/>
      <c r="S20" s="145"/>
      <c r="T20" s="145"/>
      <c r="U20" s="145"/>
      <c r="V20" s="145"/>
      <c r="W20" s="184">
        <f t="shared" si="0"/>
        <v>0.0185016</v>
      </c>
      <c r="X20" s="184"/>
      <c r="Y20" s="131">
        <v>3</v>
      </c>
      <c r="Z20" s="131">
        <v>31.2</v>
      </c>
      <c r="AA20" s="145" t="s">
        <v>799</v>
      </c>
      <c r="AB20" s="153" t="s">
        <v>208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</row>
    <row r="21" spans="1:45" s="9" customFormat="1" ht="12.75">
      <c r="A21" s="190" t="s">
        <v>97</v>
      </c>
      <c r="B21" s="194">
        <v>9666</v>
      </c>
      <c r="C21" s="145" t="s">
        <v>224</v>
      </c>
      <c r="D21" s="131">
        <v>20200101</v>
      </c>
      <c r="E21" s="145" t="s">
        <v>225</v>
      </c>
      <c r="F21" s="131" t="s">
        <v>75</v>
      </c>
      <c r="G21" s="131">
        <v>0</v>
      </c>
      <c r="H21" s="145" t="s">
        <v>207</v>
      </c>
      <c r="I21" s="131">
        <v>25.52</v>
      </c>
      <c r="J21" s="67" t="s">
        <v>798</v>
      </c>
      <c r="K21" s="131">
        <v>0</v>
      </c>
      <c r="L21" s="165">
        <v>0</v>
      </c>
      <c r="M21" s="192">
        <v>0</v>
      </c>
      <c r="N21" s="131">
        <v>0</v>
      </c>
      <c r="O21" s="131">
        <v>0</v>
      </c>
      <c r="P21" s="131">
        <v>0</v>
      </c>
      <c r="Q21" s="145" t="s">
        <v>52</v>
      </c>
      <c r="R21" s="145"/>
      <c r="S21" s="145"/>
      <c r="T21" s="145"/>
      <c r="U21" s="145"/>
      <c r="V21" s="145"/>
      <c r="W21" s="184">
        <f t="shared" si="0"/>
        <v>0.396836</v>
      </c>
      <c r="X21" s="184"/>
      <c r="Y21" s="131">
        <v>3</v>
      </c>
      <c r="Z21" s="131">
        <v>31.1</v>
      </c>
      <c r="AA21" s="145" t="s">
        <v>799</v>
      </c>
      <c r="AB21" s="153" t="s">
        <v>208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</row>
    <row r="22" spans="1:45" s="9" customFormat="1" ht="12.75">
      <c r="A22" s="190" t="s">
        <v>48</v>
      </c>
      <c r="B22" s="194">
        <v>11726</v>
      </c>
      <c r="C22" s="145" t="s">
        <v>226</v>
      </c>
      <c r="D22" s="131">
        <v>10301002</v>
      </c>
      <c r="E22" s="145" t="s">
        <v>227</v>
      </c>
      <c r="F22" s="131" t="s">
        <v>75</v>
      </c>
      <c r="G22" s="131">
        <v>71</v>
      </c>
      <c r="H22" s="145" t="s">
        <v>228</v>
      </c>
      <c r="I22" s="131">
        <v>6.252</v>
      </c>
      <c r="J22" s="67" t="s">
        <v>798</v>
      </c>
      <c r="K22" s="131">
        <v>0</v>
      </c>
      <c r="L22" s="165">
        <v>0</v>
      </c>
      <c r="M22" s="192">
        <v>0.075</v>
      </c>
      <c r="N22" s="131" t="s">
        <v>81</v>
      </c>
      <c r="O22" s="131">
        <v>0</v>
      </c>
      <c r="P22" s="131">
        <v>0</v>
      </c>
      <c r="Q22" s="145" t="s">
        <v>52</v>
      </c>
      <c r="R22" s="145"/>
      <c r="S22" s="145"/>
      <c r="T22" s="145"/>
      <c r="U22" s="145"/>
      <c r="V22" s="145"/>
      <c r="W22" s="184">
        <f t="shared" si="0"/>
        <v>0.0009377999999999999</v>
      </c>
      <c r="X22" s="184"/>
      <c r="Y22" s="131">
        <v>3</v>
      </c>
      <c r="Z22" s="131">
        <v>0.3</v>
      </c>
      <c r="AA22" s="145" t="s">
        <v>799</v>
      </c>
      <c r="AB22" s="153" t="s">
        <v>229</v>
      </c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5" s="9" customFormat="1" ht="12.75">
      <c r="A23" s="190" t="s">
        <v>48</v>
      </c>
      <c r="B23" s="194">
        <v>11727</v>
      </c>
      <c r="C23" s="145" t="s">
        <v>230</v>
      </c>
      <c r="D23" s="131">
        <v>10301002</v>
      </c>
      <c r="E23" s="145" t="s">
        <v>231</v>
      </c>
      <c r="F23" s="131" t="s">
        <v>75</v>
      </c>
      <c r="G23" s="131">
        <v>72</v>
      </c>
      <c r="H23" s="145" t="s">
        <v>228</v>
      </c>
      <c r="I23" s="131">
        <v>8.243</v>
      </c>
      <c r="J23" s="67" t="s">
        <v>798</v>
      </c>
      <c r="K23" s="131">
        <v>0</v>
      </c>
      <c r="L23" s="165">
        <v>0</v>
      </c>
      <c r="M23" s="192">
        <v>0.075</v>
      </c>
      <c r="N23" s="131" t="s">
        <v>81</v>
      </c>
      <c r="O23" s="131">
        <v>0</v>
      </c>
      <c r="P23" s="131">
        <v>0</v>
      </c>
      <c r="Q23" s="145" t="s">
        <v>52</v>
      </c>
      <c r="R23" s="145"/>
      <c r="S23" s="145"/>
      <c r="T23" s="145"/>
      <c r="U23" s="145"/>
      <c r="V23" s="145"/>
      <c r="W23" s="184">
        <f t="shared" si="0"/>
        <v>0.00123645</v>
      </c>
      <c r="X23" s="184"/>
      <c r="Y23" s="131">
        <v>3</v>
      </c>
      <c r="Z23" s="131">
        <v>0.3</v>
      </c>
      <c r="AA23" s="145" t="s">
        <v>799</v>
      </c>
      <c r="AB23" s="153" t="s">
        <v>229</v>
      </c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</row>
    <row r="24" spans="1:45" s="9" customFormat="1" ht="13.5" thickBot="1">
      <c r="A24" s="191" t="s">
        <v>48</v>
      </c>
      <c r="B24" s="195">
        <v>11728</v>
      </c>
      <c r="C24" s="187" t="s">
        <v>232</v>
      </c>
      <c r="D24" s="186">
        <v>10301002</v>
      </c>
      <c r="E24" s="187" t="s">
        <v>233</v>
      </c>
      <c r="F24" s="186" t="s">
        <v>75</v>
      </c>
      <c r="G24" s="186">
        <v>73</v>
      </c>
      <c r="H24" s="187" t="s">
        <v>228</v>
      </c>
      <c r="I24" s="186">
        <v>6.488</v>
      </c>
      <c r="J24" s="188" t="s">
        <v>798</v>
      </c>
      <c r="K24" s="186">
        <v>0</v>
      </c>
      <c r="L24" s="196">
        <v>0</v>
      </c>
      <c r="M24" s="193">
        <v>0.075</v>
      </c>
      <c r="N24" s="186" t="s">
        <v>81</v>
      </c>
      <c r="O24" s="186">
        <v>0</v>
      </c>
      <c r="P24" s="186">
        <v>0</v>
      </c>
      <c r="Q24" s="187" t="s">
        <v>52</v>
      </c>
      <c r="R24" s="187"/>
      <c r="S24" s="187"/>
      <c r="T24" s="187"/>
      <c r="U24" s="187"/>
      <c r="V24" s="187"/>
      <c r="W24" s="189">
        <f t="shared" si="0"/>
        <v>0.0009732</v>
      </c>
      <c r="X24" s="189"/>
      <c r="Y24" s="186">
        <v>3</v>
      </c>
      <c r="Z24" s="186">
        <v>0.3</v>
      </c>
      <c r="AA24" s="187" t="s">
        <v>799</v>
      </c>
      <c r="AB24" s="158" t="s">
        <v>234</v>
      </c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45" s="9" customFormat="1" ht="13.5" thickBo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42" t="s">
        <v>196</v>
      </c>
      <c r="W25" s="443">
        <f>SUM(W11:W24)</f>
        <v>296.35037474999996</v>
      </c>
      <c r="X25" s="181"/>
      <c r="Y25" s="182"/>
      <c r="Z25" s="64"/>
      <c r="AA25" s="77"/>
      <c r="AB25" s="64"/>
      <c r="AC25" s="70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</row>
    <row r="26" spans="1:45" ht="13.5" thickTop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183"/>
      <c r="Z26" s="74"/>
      <c r="AA26" s="77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</row>
    <row r="27" spans="2:45" ht="12.75">
      <c r="B27" s="74"/>
      <c r="C27" s="74" t="s">
        <v>237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83"/>
      <c r="Z27" s="74"/>
      <c r="AA27" s="77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</row>
    <row r="28" spans="1:45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7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</row>
    <row r="29" spans="1:45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7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</row>
    <row r="30" spans="1:45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</row>
    <row r="31" spans="1:45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</row>
    <row r="32" spans="1:45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</row>
    <row r="33" spans="1:45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</row>
    <row r="34" spans="1:45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</row>
    <row r="35" spans="1:45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</row>
  </sheetData>
  <mergeCells count="24">
    <mergeCell ref="I8:L9"/>
    <mergeCell ref="M8:P9"/>
    <mergeCell ref="Q8:Q10"/>
    <mergeCell ref="R8:S8"/>
    <mergeCell ref="R9:R10"/>
    <mergeCell ref="S9:S10"/>
    <mergeCell ref="E8:E10"/>
    <mergeCell ref="F8:F10"/>
    <mergeCell ref="G8:G10"/>
    <mergeCell ref="H8:H10"/>
    <mergeCell ref="A8:A10"/>
    <mergeCell ref="B8:B10"/>
    <mergeCell ref="C8:C10"/>
    <mergeCell ref="D8:D10"/>
    <mergeCell ref="T8:U8"/>
    <mergeCell ref="V8:V10"/>
    <mergeCell ref="W8:W10"/>
    <mergeCell ref="U9:U10"/>
    <mergeCell ref="T9:T10"/>
    <mergeCell ref="AB8:AB10"/>
    <mergeCell ref="X8:X10"/>
    <mergeCell ref="Y8:Y10"/>
    <mergeCell ref="Z8:Z10"/>
    <mergeCell ref="AA8:AA10"/>
  </mergeCells>
  <printOptions/>
  <pageMargins left="0.39" right="0.39" top="1.7" bottom="1" header="0.5" footer="0.5"/>
  <pageSetup horizontalDpi="600" verticalDpi="600" orientation="landscape" r:id="rId1"/>
  <headerFooter alignWithMargins="0">
    <oddHeader>&amp;L
Graymont Western US Incorporated
(Was Continental Lime Inc.)
Site Name:  Cricket Mountain Plant
Site ID:  10313&amp;C&amp;"Arial,Bold"Regional Haze
&amp;"Arial,Regular"1996 Statewide SOx Sources</oddHeader>
    <oddFooter>&amp;R&amp;D
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125"/>
  <sheetViews>
    <sheetView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4" width="13.8515625" style="0" customWidth="1"/>
    <col min="5" max="5" width="21.00390625" style="0" customWidth="1"/>
    <col min="7" max="7" width="11.140625" style="0" customWidth="1"/>
    <col min="8" max="8" width="12.4218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5" width="11.7109375" style="0" customWidth="1"/>
    <col min="28" max="28" width="54.421875" style="0" customWidth="1"/>
    <col min="29" max="29" width="29.140625" style="0" customWidth="1"/>
  </cols>
  <sheetData>
    <row r="1" spans="2:5" ht="15.75">
      <c r="B1" s="14"/>
      <c r="E1" s="4" t="s">
        <v>44</v>
      </c>
    </row>
    <row r="2" spans="1:5" ht="15">
      <c r="A2" s="14"/>
      <c r="B2" s="14"/>
      <c r="E2" s="5" t="s">
        <v>199</v>
      </c>
    </row>
    <row r="3" spans="1:5" ht="15">
      <c r="A3" s="14"/>
      <c r="B3" s="14"/>
      <c r="E3" s="5"/>
    </row>
    <row r="4" spans="1:5" ht="15">
      <c r="A4" s="38" t="s">
        <v>238</v>
      </c>
      <c r="B4" s="14"/>
      <c r="E4" s="5"/>
    </row>
    <row r="5" spans="1:3" ht="12.75">
      <c r="A5" s="14" t="s">
        <v>13</v>
      </c>
      <c r="B5" s="14" t="s">
        <v>14</v>
      </c>
      <c r="C5" s="38" t="s">
        <v>239</v>
      </c>
    </row>
    <row r="6" spans="1:2" ht="12.75">
      <c r="A6" s="37">
        <v>10122</v>
      </c>
      <c r="B6" s="14"/>
    </row>
    <row r="8" spans="1:55" ht="13.5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</row>
    <row r="9" spans="1:66" ht="16.5" customHeight="1">
      <c r="A9" s="512" t="s">
        <v>43</v>
      </c>
      <c r="B9" s="515" t="s">
        <v>29</v>
      </c>
      <c r="C9" s="503" t="s">
        <v>28</v>
      </c>
      <c r="D9" s="503" t="s">
        <v>27</v>
      </c>
      <c r="E9" s="503" t="s">
        <v>26</v>
      </c>
      <c r="F9" s="503" t="s">
        <v>23</v>
      </c>
      <c r="G9" s="503" t="s">
        <v>24</v>
      </c>
      <c r="H9" s="503" t="s">
        <v>25</v>
      </c>
      <c r="I9" s="545" t="s">
        <v>451</v>
      </c>
      <c r="J9" s="578"/>
      <c r="K9" s="578"/>
      <c r="L9" s="579"/>
      <c r="M9" s="584" t="s">
        <v>15</v>
      </c>
      <c r="N9" s="578"/>
      <c r="O9" s="578"/>
      <c r="P9" s="578"/>
      <c r="Q9" s="503" t="s">
        <v>32</v>
      </c>
      <c r="R9" s="545" t="s">
        <v>30</v>
      </c>
      <c r="S9" s="545"/>
      <c r="T9" s="545" t="s">
        <v>31</v>
      </c>
      <c r="U9" s="545"/>
      <c r="V9" s="503" t="s">
        <v>40</v>
      </c>
      <c r="W9" s="582" t="s">
        <v>286</v>
      </c>
      <c r="X9" s="503" t="s">
        <v>34</v>
      </c>
      <c r="Y9" s="503" t="s">
        <v>36</v>
      </c>
      <c r="Z9" s="503" t="s">
        <v>37</v>
      </c>
      <c r="AA9" s="503" t="s">
        <v>38</v>
      </c>
      <c r="AB9" s="573" t="s">
        <v>39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</row>
    <row r="10" spans="1:66" s="1" customFormat="1" ht="24.75" customHeight="1">
      <c r="A10" s="576"/>
      <c r="B10" s="581"/>
      <c r="C10" s="577"/>
      <c r="D10" s="577"/>
      <c r="E10" s="577"/>
      <c r="F10" s="577"/>
      <c r="G10" s="577"/>
      <c r="H10" s="577"/>
      <c r="I10" s="577"/>
      <c r="J10" s="577"/>
      <c r="K10" s="577"/>
      <c r="L10" s="580"/>
      <c r="M10" s="585"/>
      <c r="N10" s="577"/>
      <c r="O10" s="577"/>
      <c r="P10" s="577"/>
      <c r="Q10" s="572"/>
      <c r="R10" s="528" t="s">
        <v>41</v>
      </c>
      <c r="S10" s="528" t="s">
        <v>33</v>
      </c>
      <c r="T10" s="528" t="s">
        <v>42</v>
      </c>
      <c r="U10" s="528" t="s">
        <v>33</v>
      </c>
      <c r="V10" s="528"/>
      <c r="W10" s="583"/>
      <c r="X10" s="528"/>
      <c r="Y10" s="528"/>
      <c r="Z10" s="528"/>
      <c r="AA10" s="572"/>
      <c r="AB10" s="574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</row>
    <row r="11" spans="1:66" ht="25.5" customHeight="1">
      <c r="A11" s="576"/>
      <c r="B11" s="581"/>
      <c r="C11" s="577"/>
      <c r="D11" s="577"/>
      <c r="E11" s="577"/>
      <c r="F11" s="577"/>
      <c r="G11" s="577"/>
      <c r="H11" s="577"/>
      <c r="I11" s="66" t="s">
        <v>17</v>
      </c>
      <c r="J11" s="66" t="s">
        <v>18</v>
      </c>
      <c r="K11" s="66" t="s">
        <v>16</v>
      </c>
      <c r="L11" s="150" t="s">
        <v>19</v>
      </c>
      <c r="M11" s="72" t="s">
        <v>20</v>
      </c>
      <c r="N11" s="66" t="s">
        <v>19</v>
      </c>
      <c r="O11" s="66" t="s">
        <v>21</v>
      </c>
      <c r="P11" s="66" t="s">
        <v>22</v>
      </c>
      <c r="Q11" s="572"/>
      <c r="R11" s="528"/>
      <c r="S11" s="528"/>
      <c r="T11" s="572"/>
      <c r="U11" s="528"/>
      <c r="V11" s="528"/>
      <c r="W11" s="583"/>
      <c r="X11" s="528"/>
      <c r="Y11" s="528"/>
      <c r="Z11" s="528"/>
      <c r="AA11" s="572"/>
      <c r="AB11" s="5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</row>
    <row r="12" spans="1:55" s="9" customFormat="1" ht="12.75">
      <c r="A12" s="200" t="s">
        <v>48</v>
      </c>
      <c r="B12" s="201">
        <v>1288</v>
      </c>
      <c r="C12" s="200" t="s">
        <v>240</v>
      </c>
      <c r="D12" s="201">
        <v>30600106</v>
      </c>
      <c r="E12" s="200" t="s">
        <v>241</v>
      </c>
      <c r="F12" s="201" t="s">
        <v>75</v>
      </c>
      <c r="G12" s="201">
        <v>53</v>
      </c>
      <c r="H12" s="200" t="s">
        <v>242</v>
      </c>
      <c r="I12" s="201">
        <v>187</v>
      </c>
      <c r="J12" s="200" t="s">
        <v>85</v>
      </c>
      <c r="K12" s="201">
        <v>24.4</v>
      </c>
      <c r="L12" s="201" t="s">
        <v>629</v>
      </c>
      <c r="M12" s="201">
        <v>1050</v>
      </c>
      <c r="N12" s="201" t="s">
        <v>791</v>
      </c>
      <c r="O12" s="201" t="s">
        <v>51</v>
      </c>
      <c r="P12" s="201" t="s">
        <v>51</v>
      </c>
      <c r="Q12" s="200" t="s">
        <v>52</v>
      </c>
      <c r="R12" s="200"/>
      <c r="S12" s="200"/>
      <c r="T12" s="200"/>
      <c r="U12" s="200"/>
      <c r="V12" s="200"/>
      <c r="W12" s="202">
        <f aca="true" t="shared" si="0" ref="W12:W33">Z12*I12/2000</f>
        <v>0.552585</v>
      </c>
      <c r="X12" s="201" t="s">
        <v>51</v>
      </c>
      <c r="Y12" s="201">
        <v>5</v>
      </c>
      <c r="Z12" s="201">
        <v>5.91</v>
      </c>
      <c r="AA12" s="200" t="s">
        <v>86</v>
      </c>
      <c r="AB12" s="200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</row>
    <row r="13" spans="1:55" s="9" customFormat="1" ht="12.75">
      <c r="A13" s="200">
        <v>2</v>
      </c>
      <c r="B13" s="201">
        <v>1288</v>
      </c>
      <c r="C13" s="200" t="s">
        <v>240</v>
      </c>
      <c r="D13" s="201">
        <v>30600106</v>
      </c>
      <c r="E13" s="200" t="s">
        <v>241</v>
      </c>
      <c r="F13" s="201" t="s">
        <v>75</v>
      </c>
      <c r="G13" s="201">
        <v>53</v>
      </c>
      <c r="H13" s="200" t="s">
        <v>177</v>
      </c>
      <c r="I13" s="201">
        <v>10</v>
      </c>
      <c r="J13" s="200" t="s">
        <v>85</v>
      </c>
      <c r="K13" s="201"/>
      <c r="L13" s="201"/>
      <c r="M13" s="201"/>
      <c r="N13" s="201"/>
      <c r="O13" s="201"/>
      <c r="P13" s="201"/>
      <c r="Q13" s="200" t="s">
        <v>52</v>
      </c>
      <c r="R13" s="200"/>
      <c r="S13" s="200"/>
      <c r="T13" s="200"/>
      <c r="U13" s="200"/>
      <c r="V13" s="200"/>
      <c r="W13" s="202">
        <f t="shared" si="0"/>
        <v>0.003</v>
      </c>
      <c r="X13" s="201"/>
      <c r="Y13" s="201">
        <v>3</v>
      </c>
      <c r="Z13" s="201">
        <v>0.6</v>
      </c>
      <c r="AA13" s="200" t="s">
        <v>86</v>
      </c>
      <c r="AB13" s="200" t="s">
        <v>291</v>
      </c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s="9" customFormat="1" ht="12.75">
      <c r="A14" s="200" t="s">
        <v>48</v>
      </c>
      <c r="B14" s="201">
        <v>1289</v>
      </c>
      <c r="C14" s="200" t="s">
        <v>243</v>
      </c>
      <c r="D14" s="201">
        <v>30600106</v>
      </c>
      <c r="E14" s="200" t="s">
        <v>244</v>
      </c>
      <c r="F14" s="201" t="s">
        <v>75</v>
      </c>
      <c r="G14" s="201">
        <v>55</v>
      </c>
      <c r="H14" s="200" t="s">
        <v>242</v>
      </c>
      <c r="I14" s="201">
        <v>218</v>
      </c>
      <c r="J14" s="200" t="s">
        <v>85</v>
      </c>
      <c r="K14" s="201">
        <v>27.9</v>
      </c>
      <c r="L14" s="201" t="s">
        <v>629</v>
      </c>
      <c r="M14" s="201">
        <v>1050</v>
      </c>
      <c r="N14" s="201" t="s">
        <v>791</v>
      </c>
      <c r="O14" s="201" t="s">
        <v>51</v>
      </c>
      <c r="P14" s="201" t="s">
        <v>51</v>
      </c>
      <c r="Q14" s="200" t="s">
        <v>52</v>
      </c>
      <c r="R14" s="200"/>
      <c r="S14" s="200"/>
      <c r="T14" s="200"/>
      <c r="U14" s="200"/>
      <c r="V14" s="200"/>
      <c r="W14" s="202">
        <f t="shared" si="0"/>
        <v>0.64419</v>
      </c>
      <c r="X14" s="201" t="s">
        <v>51</v>
      </c>
      <c r="Y14" s="201">
        <v>10</v>
      </c>
      <c r="Z14" s="201">
        <v>5.91</v>
      </c>
      <c r="AA14" s="200" t="s">
        <v>86</v>
      </c>
      <c r="AB14" s="200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</row>
    <row r="15" spans="1:55" s="9" customFormat="1" ht="12.75">
      <c r="A15" s="200">
        <v>2</v>
      </c>
      <c r="B15" s="201">
        <v>1289</v>
      </c>
      <c r="C15" s="200" t="s">
        <v>243</v>
      </c>
      <c r="D15" s="201">
        <v>30600106</v>
      </c>
      <c r="E15" s="200" t="s">
        <v>244</v>
      </c>
      <c r="F15" s="201" t="s">
        <v>75</v>
      </c>
      <c r="G15" s="201">
        <v>55</v>
      </c>
      <c r="H15" s="200" t="s">
        <v>177</v>
      </c>
      <c r="I15" s="201">
        <v>12</v>
      </c>
      <c r="J15" s="200" t="s">
        <v>85</v>
      </c>
      <c r="K15" s="201"/>
      <c r="L15" s="201"/>
      <c r="M15" s="201"/>
      <c r="N15" s="201"/>
      <c r="O15" s="201"/>
      <c r="P15" s="201"/>
      <c r="Q15" s="200" t="s">
        <v>52</v>
      </c>
      <c r="R15" s="200"/>
      <c r="S15" s="200"/>
      <c r="T15" s="200"/>
      <c r="U15" s="200"/>
      <c r="V15" s="200"/>
      <c r="W15" s="202">
        <f t="shared" si="0"/>
        <v>0.0035999999999999995</v>
      </c>
      <c r="X15" s="201"/>
      <c r="Y15" s="201">
        <v>3</v>
      </c>
      <c r="Z15" s="201">
        <v>0.6</v>
      </c>
      <c r="AA15" s="200" t="s">
        <v>86</v>
      </c>
      <c r="AB15" s="200" t="s">
        <v>291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</row>
    <row r="16" spans="1:55" s="9" customFormat="1" ht="12.75">
      <c r="A16" s="200" t="s">
        <v>48</v>
      </c>
      <c r="B16" s="201">
        <v>1290</v>
      </c>
      <c r="C16" s="200" t="s">
        <v>246</v>
      </c>
      <c r="D16" s="201">
        <v>30600106</v>
      </c>
      <c r="E16" s="200" t="s">
        <v>247</v>
      </c>
      <c r="F16" s="201" t="s">
        <v>75</v>
      </c>
      <c r="G16" s="201">
        <v>54</v>
      </c>
      <c r="H16" s="200" t="s">
        <v>242</v>
      </c>
      <c r="I16" s="201">
        <v>126</v>
      </c>
      <c r="J16" s="200" t="s">
        <v>85</v>
      </c>
      <c r="K16" s="201">
        <v>16.2</v>
      </c>
      <c r="L16" s="201" t="s">
        <v>629</v>
      </c>
      <c r="M16" s="201">
        <v>1050</v>
      </c>
      <c r="N16" s="201" t="s">
        <v>791</v>
      </c>
      <c r="O16" s="201" t="s">
        <v>51</v>
      </c>
      <c r="P16" s="201" t="s">
        <v>51</v>
      </c>
      <c r="Q16" s="200" t="s">
        <v>52</v>
      </c>
      <c r="R16" s="200"/>
      <c r="S16" s="200"/>
      <c r="T16" s="200"/>
      <c r="U16" s="200"/>
      <c r="V16" s="200"/>
      <c r="W16" s="202">
        <f t="shared" si="0"/>
        <v>0.37233</v>
      </c>
      <c r="X16" s="201" t="s">
        <v>51</v>
      </c>
      <c r="Y16" s="201">
        <v>10</v>
      </c>
      <c r="Z16" s="201">
        <v>5.91</v>
      </c>
      <c r="AA16" s="200" t="s">
        <v>86</v>
      </c>
      <c r="AB16" s="200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</row>
    <row r="17" spans="1:55" s="9" customFormat="1" ht="12.75">
      <c r="A17" s="200"/>
      <c r="B17" s="201">
        <v>1290</v>
      </c>
      <c r="C17" s="200" t="s">
        <v>246</v>
      </c>
      <c r="D17" s="201">
        <v>30600106</v>
      </c>
      <c r="E17" s="200" t="s">
        <v>247</v>
      </c>
      <c r="F17" s="201" t="s">
        <v>75</v>
      </c>
      <c r="G17" s="201">
        <v>54</v>
      </c>
      <c r="H17" s="200" t="s">
        <v>177</v>
      </c>
      <c r="I17" s="201">
        <v>7</v>
      </c>
      <c r="J17" s="200" t="s">
        <v>85</v>
      </c>
      <c r="K17" s="201"/>
      <c r="L17" s="201"/>
      <c r="M17" s="201"/>
      <c r="N17" s="201"/>
      <c r="O17" s="201"/>
      <c r="P17" s="201"/>
      <c r="Q17" s="200" t="s">
        <v>52</v>
      </c>
      <c r="R17" s="200"/>
      <c r="S17" s="200"/>
      <c r="T17" s="200"/>
      <c r="U17" s="200"/>
      <c r="V17" s="200"/>
      <c r="W17" s="202">
        <f t="shared" si="0"/>
        <v>0.0021000000000000003</v>
      </c>
      <c r="X17" s="201"/>
      <c r="Y17" s="201">
        <v>3</v>
      </c>
      <c r="Z17" s="201">
        <v>0.6</v>
      </c>
      <c r="AA17" s="200" t="s">
        <v>86</v>
      </c>
      <c r="AB17" s="200" t="s">
        <v>291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</row>
    <row r="18" spans="1:55" s="9" customFormat="1" ht="12.75">
      <c r="A18" s="200" t="s">
        <v>48</v>
      </c>
      <c r="B18" s="201">
        <v>1291</v>
      </c>
      <c r="C18" s="200" t="s">
        <v>248</v>
      </c>
      <c r="D18" s="201">
        <v>30600106</v>
      </c>
      <c r="E18" s="200" t="s">
        <v>249</v>
      </c>
      <c r="F18" s="201" t="s">
        <v>75</v>
      </c>
      <c r="G18" s="201">
        <v>56</v>
      </c>
      <c r="H18" s="200" t="s">
        <v>242</v>
      </c>
      <c r="I18" s="201">
        <v>106</v>
      </c>
      <c r="J18" s="200" t="s">
        <v>85</v>
      </c>
      <c r="K18" s="201">
        <v>13.8</v>
      </c>
      <c r="L18" s="201" t="s">
        <v>629</v>
      </c>
      <c r="M18" s="201">
        <v>1050</v>
      </c>
      <c r="N18" s="201" t="s">
        <v>791</v>
      </c>
      <c r="O18" s="201" t="s">
        <v>51</v>
      </c>
      <c r="P18" s="201" t="s">
        <v>51</v>
      </c>
      <c r="Q18" s="200" t="s">
        <v>52</v>
      </c>
      <c r="R18" s="200"/>
      <c r="S18" s="200"/>
      <c r="T18" s="200"/>
      <c r="U18" s="200"/>
      <c r="V18" s="200"/>
      <c r="W18" s="202">
        <f t="shared" si="0"/>
        <v>0.31323</v>
      </c>
      <c r="X18" s="201" t="s">
        <v>51</v>
      </c>
      <c r="Y18" s="201">
        <v>5</v>
      </c>
      <c r="Z18" s="201">
        <v>5.91</v>
      </c>
      <c r="AA18" s="200" t="s">
        <v>86</v>
      </c>
      <c r="AB18" s="200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</row>
    <row r="19" spans="1:55" s="9" customFormat="1" ht="12.75">
      <c r="A19" s="200"/>
      <c r="B19" s="201">
        <v>1291</v>
      </c>
      <c r="C19" s="200" t="s">
        <v>248</v>
      </c>
      <c r="D19" s="201">
        <v>30600106</v>
      </c>
      <c r="E19" s="200" t="s">
        <v>249</v>
      </c>
      <c r="F19" s="201" t="s">
        <v>75</v>
      </c>
      <c r="G19" s="201">
        <v>56</v>
      </c>
      <c r="H19" s="200" t="s">
        <v>177</v>
      </c>
      <c r="I19" s="201">
        <v>6</v>
      </c>
      <c r="J19" s="200" t="s">
        <v>85</v>
      </c>
      <c r="K19" s="201"/>
      <c r="L19" s="201"/>
      <c r="M19" s="201"/>
      <c r="N19" s="201"/>
      <c r="O19" s="201"/>
      <c r="P19" s="201"/>
      <c r="Q19" s="200" t="s">
        <v>52</v>
      </c>
      <c r="R19" s="200"/>
      <c r="S19" s="200"/>
      <c r="T19" s="200"/>
      <c r="U19" s="200"/>
      <c r="V19" s="200"/>
      <c r="W19" s="202">
        <f t="shared" si="0"/>
        <v>0.0017999999999999997</v>
      </c>
      <c r="X19" s="201"/>
      <c r="Y19" s="201">
        <v>3</v>
      </c>
      <c r="Z19" s="201">
        <v>0.6</v>
      </c>
      <c r="AA19" s="200" t="s">
        <v>86</v>
      </c>
      <c r="AB19" s="200" t="s">
        <v>291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</row>
    <row r="20" spans="1:55" s="9" customFormat="1" ht="12.75">
      <c r="A20" s="200" t="s">
        <v>48</v>
      </c>
      <c r="B20" s="201">
        <v>1292</v>
      </c>
      <c r="C20" s="200" t="s">
        <v>250</v>
      </c>
      <c r="D20" s="201">
        <v>30600106</v>
      </c>
      <c r="E20" s="200" t="s">
        <v>251</v>
      </c>
      <c r="F20" s="201" t="s">
        <v>75</v>
      </c>
      <c r="G20" s="201">
        <v>57</v>
      </c>
      <c r="H20" s="200" t="s">
        <v>242</v>
      </c>
      <c r="I20" s="201">
        <v>52</v>
      </c>
      <c r="J20" s="200" t="s">
        <v>85</v>
      </c>
      <c r="K20" s="201">
        <v>7</v>
      </c>
      <c r="L20" s="201" t="s">
        <v>629</v>
      </c>
      <c r="M20" s="201">
        <v>1050</v>
      </c>
      <c r="N20" s="201" t="s">
        <v>791</v>
      </c>
      <c r="O20" s="201" t="s">
        <v>51</v>
      </c>
      <c r="P20" s="201" t="s">
        <v>51</v>
      </c>
      <c r="Q20" s="200" t="s">
        <v>52</v>
      </c>
      <c r="R20" s="200"/>
      <c r="S20" s="200"/>
      <c r="T20" s="200"/>
      <c r="U20" s="200"/>
      <c r="V20" s="200"/>
      <c r="W20" s="202">
        <f t="shared" si="0"/>
        <v>0.15366</v>
      </c>
      <c r="X20" s="201" t="s">
        <v>51</v>
      </c>
      <c r="Y20" s="201">
        <v>5</v>
      </c>
      <c r="Z20" s="201">
        <v>5.91</v>
      </c>
      <c r="AA20" s="200" t="s">
        <v>86</v>
      </c>
      <c r="AB20" s="200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</row>
    <row r="21" spans="1:55" s="9" customFormat="1" ht="12.75">
      <c r="A21" s="200"/>
      <c r="B21" s="201">
        <v>1292</v>
      </c>
      <c r="C21" s="200" t="s">
        <v>250</v>
      </c>
      <c r="D21" s="201">
        <v>30600106</v>
      </c>
      <c r="E21" s="200" t="s">
        <v>251</v>
      </c>
      <c r="F21" s="201" t="s">
        <v>75</v>
      </c>
      <c r="G21" s="201">
        <v>57</v>
      </c>
      <c r="H21" s="200" t="s">
        <v>177</v>
      </c>
      <c r="I21" s="201">
        <v>3</v>
      </c>
      <c r="J21" s="200" t="s">
        <v>85</v>
      </c>
      <c r="K21" s="201"/>
      <c r="L21" s="201"/>
      <c r="M21" s="201"/>
      <c r="N21" s="201"/>
      <c r="O21" s="201"/>
      <c r="P21" s="201"/>
      <c r="Q21" s="200" t="s">
        <v>52</v>
      </c>
      <c r="R21" s="200"/>
      <c r="S21" s="200"/>
      <c r="T21" s="200"/>
      <c r="U21" s="200"/>
      <c r="V21" s="200"/>
      <c r="W21" s="202">
        <f t="shared" si="0"/>
        <v>0.0008999999999999999</v>
      </c>
      <c r="X21" s="201"/>
      <c r="Y21" s="201">
        <v>3</v>
      </c>
      <c r="Z21" s="201">
        <v>0.6</v>
      </c>
      <c r="AA21" s="200" t="s">
        <v>86</v>
      </c>
      <c r="AB21" s="200" t="s">
        <v>291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</row>
    <row r="22" spans="1:55" s="9" customFormat="1" ht="12.75">
      <c r="A22" s="200" t="s">
        <v>48</v>
      </c>
      <c r="B22" s="201">
        <v>1293</v>
      </c>
      <c r="C22" s="200" t="s">
        <v>252</v>
      </c>
      <c r="D22" s="201">
        <v>30600106</v>
      </c>
      <c r="E22" s="200" t="s">
        <v>253</v>
      </c>
      <c r="F22" s="201" t="s">
        <v>75</v>
      </c>
      <c r="G22" s="201">
        <v>58</v>
      </c>
      <c r="H22" s="200" t="s">
        <v>242</v>
      </c>
      <c r="I22" s="201">
        <v>168</v>
      </c>
      <c r="J22" s="200" t="s">
        <v>85</v>
      </c>
      <c r="K22" s="201">
        <v>22.6</v>
      </c>
      <c r="L22" s="201" t="s">
        <v>629</v>
      </c>
      <c r="M22" s="201">
        <v>1050</v>
      </c>
      <c r="N22" s="201" t="s">
        <v>791</v>
      </c>
      <c r="O22" s="201" t="s">
        <v>51</v>
      </c>
      <c r="P22" s="201" t="s">
        <v>51</v>
      </c>
      <c r="Q22" s="200" t="s">
        <v>52</v>
      </c>
      <c r="R22" s="200"/>
      <c r="S22" s="200"/>
      <c r="T22" s="200"/>
      <c r="U22" s="200"/>
      <c r="V22" s="200"/>
      <c r="W22" s="202">
        <f t="shared" si="0"/>
        <v>0.49644</v>
      </c>
      <c r="X22" s="201" t="s">
        <v>51</v>
      </c>
      <c r="Y22" s="201">
        <v>5</v>
      </c>
      <c r="Z22" s="201">
        <v>5.91</v>
      </c>
      <c r="AA22" s="200" t="s">
        <v>86</v>
      </c>
      <c r="AB22" s="200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</row>
    <row r="23" spans="1:55" s="9" customFormat="1" ht="12.75">
      <c r="A23" s="200"/>
      <c r="B23" s="201">
        <v>1293</v>
      </c>
      <c r="C23" s="200" t="s">
        <v>252</v>
      </c>
      <c r="D23" s="201">
        <v>30600106</v>
      </c>
      <c r="E23" s="200" t="s">
        <v>253</v>
      </c>
      <c r="F23" s="201" t="s">
        <v>75</v>
      </c>
      <c r="G23" s="201">
        <v>58</v>
      </c>
      <c r="H23" s="200" t="s">
        <v>177</v>
      </c>
      <c r="I23" s="201">
        <v>9</v>
      </c>
      <c r="J23" s="200" t="s">
        <v>85</v>
      </c>
      <c r="K23" s="201"/>
      <c r="L23" s="201"/>
      <c r="M23" s="201"/>
      <c r="N23" s="201"/>
      <c r="O23" s="201"/>
      <c r="P23" s="201"/>
      <c r="Q23" s="200" t="s">
        <v>52</v>
      </c>
      <c r="R23" s="200"/>
      <c r="S23" s="200"/>
      <c r="T23" s="200"/>
      <c r="U23" s="200"/>
      <c r="V23" s="200"/>
      <c r="W23" s="202">
        <f t="shared" si="0"/>
        <v>0.0026999999999999997</v>
      </c>
      <c r="X23" s="201"/>
      <c r="Y23" s="201">
        <v>3</v>
      </c>
      <c r="Z23" s="201">
        <v>0.6</v>
      </c>
      <c r="AA23" s="200" t="s">
        <v>86</v>
      </c>
      <c r="AB23" s="200" t="s">
        <v>291</v>
      </c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</row>
    <row r="24" spans="1:55" s="9" customFormat="1" ht="12.75">
      <c r="A24" s="200" t="s">
        <v>48</v>
      </c>
      <c r="B24" s="201">
        <v>1294</v>
      </c>
      <c r="C24" s="200" t="s">
        <v>254</v>
      </c>
      <c r="D24" s="201">
        <v>30600106</v>
      </c>
      <c r="E24" s="200" t="s">
        <v>255</v>
      </c>
      <c r="F24" s="201" t="s">
        <v>75</v>
      </c>
      <c r="G24" s="201">
        <v>59</v>
      </c>
      <c r="H24" s="200" t="s">
        <v>242</v>
      </c>
      <c r="I24" s="201">
        <v>313</v>
      </c>
      <c r="J24" s="200" t="s">
        <v>85</v>
      </c>
      <c r="K24" s="201">
        <v>42.1</v>
      </c>
      <c r="L24" s="201" t="s">
        <v>629</v>
      </c>
      <c r="M24" s="201">
        <v>1050</v>
      </c>
      <c r="N24" s="201" t="s">
        <v>791</v>
      </c>
      <c r="O24" s="201" t="s">
        <v>51</v>
      </c>
      <c r="P24" s="201" t="s">
        <v>51</v>
      </c>
      <c r="Q24" s="200" t="s">
        <v>52</v>
      </c>
      <c r="R24" s="200"/>
      <c r="S24" s="200"/>
      <c r="T24" s="200"/>
      <c r="U24" s="200"/>
      <c r="V24" s="200"/>
      <c r="W24" s="202">
        <f t="shared" si="0"/>
        <v>0.924915</v>
      </c>
      <c r="X24" s="201" t="s">
        <v>51</v>
      </c>
      <c r="Y24" s="201">
        <v>5</v>
      </c>
      <c r="Z24" s="201">
        <v>5.91</v>
      </c>
      <c r="AA24" s="200" t="s">
        <v>86</v>
      </c>
      <c r="AB24" s="200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</row>
    <row r="25" spans="1:55" s="9" customFormat="1" ht="12.75">
      <c r="A25" s="200"/>
      <c r="B25" s="201">
        <v>1294</v>
      </c>
      <c r="C25" s="200" t="s">
        <v>254</v>
      </c>
      <c r="D25" s="201">
        <v>30600106</v>
      </c>
      <c r="E25" s="200" t="s">
        <v>255</v>
      </c>
      <c r="F25" s="201" t="s">
        <v>75</v>
      </c>
      <c r="G25" s="201">
        <v>59</v>
      </c>
      <c r="H25" s="200" t="s">
        <v>177</v>
      </c>
      <c r="I25" s="201">
        <v>17</v>
      </c>
      <c r="J25" s="200" t="s">
        <v>85</v>
      </c>
      <c r="K25" s="201"/>
      <c r="L25" s="201"/>
      <c r="M25" s="201"/>
      <c r="N25" s="201"/>
      <c r="O25" s="201"/>
      <c r="P25" s="201"/>
      <c r="Q25" s="200" t="s">
        <v>52</v>
      </c>
      <c r="R25" s="200"/>
      <c r="S25" s="200"/>
      <c r="T25" s="200"/>
      <c r="U25" s="200"/>
      <c r="V25" s="200"/>
      <c r="W25" s="202">
        <f t="shared" si="0"/>
        <v>0.0050999999999999995</v>
      </c>
      <c r="X25" s="201"/>
      <c r="Y25" s="201">
        <v>3</v>
      </c>
      <c r="Z25" s="201">
        <v>0.6</v>
      </c>
      <c r="AA25" s="200" t="s">
        <v>86</v>
      </c>
      <c r="AB25" s="200" t="s">
        <v>291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</row>
    <row r="26" spans="1:55" s="9" customFormat="1" ht="12.75">
      <c r="A26" s="200" t="s">
        <v>48</v>
      </c>
      <c r="B26" s="201">
        <v>1295</v>
      </c>
      <c r="C26" s="200" t="s">
        <v>256</v>
      </c>
      <c r="D26" s="201">
        <v>10200701</v>
      </c>
      <c r="E26" s="200" t="s">
        <v>257</v>
      </c>
      <c r="F26" s="201" t="s">
        <v>75</v>
      </c>
      <c r="G26" s="201">
        <v>60</v>
      </c>
      <c r="H26" s="200" t="s">
        <v>242</v>
      </c>
      <c r="I26" s="201">
        <v>491</v>
      </c>
      <c r="J26" s="200" t="s">
        <v>85</v>
      </c>
      <c r="K26" s="201">
        <v>71</v>
      </c>
      <c r="L26" s="201" t="s">
        <v>629</v>
      </c>
      <c r="M26" s="201">
        <v>1050</v>
      </c>
      <c r="N26" s="201" t="s">
        <v>791</v>
      </c>
      <c r="O26" s="201" t="s">
        <v>51</v>
      </c>
      <c r="P26" s="201" t="s">
        <v>51</v>
      </c>
      <c r="Q26" s="200" t="s">
        <v>52</v>
      </c>
      <c r="R26" s="200"/>
      <c r="S26" s="200"/>
      <c r="T26" s="200"/>
      <c r="U26" s="200"/>
      <c r="V26" s="200"/>
      <c r="W26" s="202">
        <f t="shared" si="0"/>
        <v>1.450905</v>
      </c>
      <c r="X26" s="201" t="s">
        <v>51</v>
      </c>
      <c r="Y26" s="201">
        <v>5</v>
      </c>
      <c r="Z26" s="201">
        <v>5.91</v>
      </c>
      <c r="AA26" s="200" t="s">
        <v>86</v>
      </c>
      <c r="AB26" s="200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</row>
    <row r="27" spans="1:55" s="9" customFormat="1" ht="12.75">
      <c r="A27" s="200"/>
      <c r="B27" s="201">
        <v>1295</v>
      </c>
      <c r="C27" s="200" t="s">
        <v>256</v>
      </c>
      <c r="D27" s="201">
        <v>10200701</v>
      </c>
      <c r="E27" s="200" t="s">
        <v>257</v>
      </c>
      <c r="F27" s="201" t="s">
        <v>75</v>
      </c>
      <c r="G27" s="201">
        <v>60</v>
      </c>
      <c r="H27" s="200" t="s">
        <v>177</v>
      </c>
      <c r="I27" s="201">
        <v>26</v>
      </c>
      <c r="J27" s="200" t="s">
        <v>85</v>
      </c>
      <c r="K27" s="201"/>
      <c r="L27" s="201"/>
      <c r="M27" s="201"/>
      <c r="N27" s="201"/>
      <c r="O27" s="201"/>
      <c r="P27" s="201"/>
      <c r="Q27" s="200" t="s">
        <v>52</v>
      </c>
      <c r="R27" s="200"/>
      <c r="S27" s="200"/>
      <c r="T27" s="200"/>
      <c r="U27" s="200"/>
      <c r="V27" s="200"/>
      <c r="W27" s="202">
        <f t="shared" si="0"/>
        <v>0.0078</v>
      </c>
      <c r="X27" s="201"/>
      <c r="Y27" s="201">
        <v>3</v>
      </c>
      <c r="Z27" s="201">
        <v>0.6</v>
      </c>
      <c r="AA27" s="200" t="s">
        <v>86</v>
      </c>
      <c r="AB27" s="200" t="s">
        <v>291</v>
      </c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</row>
    <row r="28" spans="1:55" s="9" customFormat="1" ht="12.75">
      <c r="A28" s="200" t="s">
        <v>48</v>
      </c>
      <c r="B28" s="201">
        <v>1296</v>
      </c>
      <c r="C28" s="200" t="s">
        <v>258</v>
      </c>
      <c r="D28" s="201">
        <v>10200701</v>
      </c>
      <c r="E28" s="200" t="s">
        <v>259</v>
      </c>
      <c r="F28" s="201" t="s">
        <v>75</v>
      </c>
      <c r="G28" s="201">
        <v>61</v>
      </c>
      <c r="H28" s="200" t="s">
        <v>242</v>
      </c>
      <c r="I28" s="201">
        <v>81</v>
      </c>
      <c r="J28" s="200" t="s">
        <v>85</v>
      </c>
      <c r="K28" s="201">
        <v>71</v>
      </c>
      <c r="L28" s="201" t="s">
        <v>629</v>
      </c>
      <c r="M28" s="201">
        <v>1050</v>
      </c>
      <c r="N28" s="201" t="s">
        <v>791</v>
      </c>
      <c r="O28" s="201" t="s">
        <v>51</v>
      </c>
      <c r="P28" s="201" t="s">
        <v>51</v>
      </c>
      <c r="Q28" s="200" t="s">
        <v>52</v>
      </c>
      <c r="R28" s="200"/>
      <c r="S28" s="200"/>
      <c r="T28" s="200"/>
      <c r="U28" s="200"/>
      <c r="V28" s="200"/>
      <c r="W28" s="202">
        <f t="shared" si="0"/>
        <v>0.239355</v>
      </c>
      <c r="X28" s="201" t="s">
        <v>51</v>
      </c>
      <c r="Y28" s="201">
        <v>5</v>
      </c>
      <c r="Z28" s="201">
        <v>5.91</v>
      </c>
      <c r="AA28" s="200" t="s">
        <v>86</v>
      </c>
      <c r="AB28" s="200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</row>
    <row r="29" spans="1:55" s="9" customFormat="1" ht="12.75">
      <c r="A29" s="200"/>
      <c r="B29" s="201">
        <v>1296</v>
      </c>
      <c r="C29" s="200" t="s">
        <v>258</v>
      </c>
      <c r="D29" s="201">
        <v>10200701</v>
      </c>
      <c r="E29" s="200" t="s">
        <v>259</v>
      </c>
      <c r="F29" s="201" t="s">
        <v>75</v>
      </c>
      <c r="G29" s="201">
        <v>61</v>
      </c>
      <c r="H29" s="200" t="s">
        <v>177</v>
      </c>
      <c r="I29" s="201">
        <v>4</v>
      </c>
      <c r="J29" s="200" t="s">
        <v>85</v>
      </c>
      <c r="K29" s="201"/>
      <c r="L29" s="201"/>
      <c r="M29" s="201"/>
      <c r="N29" s="201"/>
      <c r="O29" s="201"/>
      <c r="P29" s="201"/>
      <c r="Q29" s="200" t="s">
        <v>52</v>
      </c>
      <c r="R29" s="200"/>
      <c r="S29" s="200"/>
      <c r="T29" s="200"/>
      <c r="U29" s="200"/>
      <c r="V29" s="200"/>
      <c r="W29" s="202">
        <f t="shared" si="0"/>
        <v>0.0012</v>
      </c>
      <c r="X29" s="201"/>
      <c r="Y29" s="201">
        <v>3</v>
      </c>
      <c r="Z29" s="201">
        <v>0.6</v>
      </c>
      <c r="AA29" s="200" t="s">
        <v>86</v>
      </c>
      <c r="AB29" s="200" t="s">
        <v>291</v>
      </c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</row>
    <row r="30" spans="1:55" s="9" customFormat="1" ht="12.75">
      <c r="A30" s="200" t="s">
        <v>48</v>
      </c>
      <c r="B30" s="201">
        <v>1297</v>
      </c>
      <c r="C30" s="200" t="s">
        <v>261</v>
      </c>
      <c r="D30" s="201">
        <v>30600106</v>
      </c>
      <c r="E30" s="200" t="s">
        <v>262</v>
      </c>
      <c r="F30" s="201" t="s">
        <v>75</v>
      </c>
      <c r="G30" s="201">
        <v>62</v>
      </c>
      <c r="H30" s="200" t="s">
        <v>242</v>
      </c>
      <c r="I30" s="201">
        <v>416</v>
      </c>
      <c r="J30" s="200" t="s">
        <v>85</v>
      </c>
      <c r="K30" s="201">
        <v>53.8</v>
      </c>
      <c r="L30" s="201" t="s">
        <v>629</v>
      </c>
      <c r="M30" s="201">
        <v>1050</v>
      </c>
      <c r="N30" s="201" t="s">
        <v>791</v>
      </c>
      <c r="O30" s="201" t="s">
        <v>51</v>
      </c>
      <c r="P30" s="201" t="s">
        <v>51</v>
      </c>
      <c r="Q30" s="200" t="s">
        <v>52</v>
      </c>
      <c r="R30" s="200"/>
      <c r="S30" s="200"/>
      <c r="T30" s="200"/>
      <c r="U30" s="200"/>
      <c r="V30" s="200"/>
      <c r="W30" s="202">
        <f t="shared" si="0"/>
        <v>1.22928</v>
      </c>
      <c r="X30" s="201" t="s">
        <v>51</v>
      </c>
      <c r="Y30" s="201">
        <v>5</v>
      </c>
      <c r="Z30" s="201">
        <v>5.91</v>
      </c>
      <c r="AA30" s="200" t="s">
        <v>86</v>
      </c>
      <c r="AB30" s="200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</row>
    <row r="31" spans="1:55" s="9" customFormat="1" ht="13.5" customHeight="1">
      <c r="A31" s="200" t="s">
        <v>48</v>
      </c>
      <c r="B31" s="201" t="s">
        <v>410</v>
      </c>
      <c r="C31" s="200" t="s">
        <v>263</v>
      </c>
      <c r="D31" s="201">
        <v>30600106</v>
      </c>
      <c r="E31" s="200" t="s">
        <v>264</v>
      </c>
      <c r="F31" s="201" t="s">
        <v>75</v>
      </c>
      <c r="G31" s="201">
        <v>63</v>
      </c>
      <c r="H31" s="200" t="s">
        <v>242</v>
      </c>
      <c r="I31" s="201">
        <v>584</v>
      </c>
      <c r="J31" s="200" t="s">
        <v>85</v>
      </c>
      <c r="K31" s="201">
        <v>16.9</v>
      </c>
      <c r="L31" s="201" t="s">
        <v>629</v>
      </c>
      <c r="M31" s="201">
        <v>1050</v>
      </c>
      <c r="N31" s="201" t="s">
        <v>791</v>
      </c>
      <c r="O31" s="201" t="s">
        <v>51</v>
      </c>
      <c r="P31" s="201" t="s">
        <v>51</v>
      </c>
      <c r="Q31" s="200" t="s">
        <v>52</v>
      </c>
      <c r="R31" s="200"/>
      <c r="S31" s="200"/>
      <c r="T31" s="200"/>
      <c r="U31" s="200"/>
      <c r="V31" s="200"/>
      <c r="W31" s="202">
        <f t="shared" si="0"/>
        <v>1.72572</v>
      </c>
      <c r="X31" s="201" t="s">
        <v>51</v>
      </c>
      <c r="Y31" s="201">
        <v>5</v>
      </c>
      <c r="Z31" s="201">
        <v>5.91</v>
      </c>
      <c r="AA31" s="200" t="s">
        <v>86</v>
      </c>
      <c r="AB31" s="200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</row>
    <row r="32" spans="1:55" s="9" customFormat="1" ht="12.75">
      <c r="A32" s="200" t="s">
        <v>48</v>
      </c>
      <c r="B32" s="201" t="s">
        <v>411</v>
      </c>
      <c r="C32" s="200" t="s">
        <v>265</v>
      </c>
      <c r="D32" s="201">
        <v>10200701</v>
      </c>
      <c r="E32" s="200" t="s">
        <v>266</v>
      </c>
      <c r="F32" s="201" t="s">
        <v>75</v>
      </c>
      <c r="G32" s="201">
        <v>64</v>
      </c>
      <c r="H32" s="200" t="s">
        <v>242</v>
      </c>
      <c r="I32" s="201">
        <v>1707</v>
      </c>
      <c r="J32" s="200" t="s">
        <v>287</v>
      </c>
      <c r="K32" s="201">
        <v>53</v>
      </c>
      <c r="L32" s="201" t="s">
        <v>629</v>
      </c>
      <c r="M32" s="201">
        <v>1050</v>
      </c>
      <c r="N32" s="201" t="s">
        <v>791</v>
      </c>
      <c r="O32" s="201" t="s">
        <v>51</v>
      </c>
      <c r="P32" s="201" t="s">
        <v>51</v>
      </c>
      <c r="Q32" s="200" t="s">
        <v>52</v>
      </c>
      <c r="R32" s="200"/>
      <c r="S32" s="200"/>
      <c r="T32" s="200"/>
      <c r="U32" s="200"/>
      <c r="V32" s="200"/>
      <c r="W32" s="202">
        <f t="shared" si="0"/>
        <v>62.228685</v>
      </c>
      <c r="X32" s="201">
        <v>0</v>
      </c>
      <c r="Y32" s="201">
        <v>3</v>
      </c>
      <c r="Z32" s="201">
        <v>72.91</v>
      </c>
      <c r="AA32" s="200" t="s">
        <v>803</v>
      </c>
      <c r="AB32" s="200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</row>
    <row r="33" spans="1:55" s="9" customFormat="1" ht="12.75">
      <c r="A33" s="200" t="s">
        <v>48</v>
      </c>
      <c r="B33" s="201">
        <v>1300</v>
      </c>
      <c r="C33" s="200" t="s">
        <v>267</v>
      </c>
      <c r="D33" s="201">
        <v>10200701</v>
      </c>
      <c r="E33" s="200" t="s">
        <v>268</v>
      </c>
      <c r="F33" s="201" t="s">
        <v>75</v>
      </c>
      <c r="G33" s="201">
        <v>65</v>
      </c>
      <c r="H33" s="200" t="s">
        <v>242</v>
      </c>
      <c r="I33" s="201">
        <v>334</v>
      </c>
      <c r="J33" s="200" t="s">
        <v>85</v>
      </c>
      <c r="K33" s="201">
        <v>42</v>
      </c>
      <c r="L33" s="201" t="s">
        <v>629</v>
      </c>
      <c r="M33" s="201">
        <v>1050</v>
      </c>
      <c r="N33" s="201" t="s">
        <v>791</v>
      </c>
      <c r="O33" s="201" t="s">
        <v>51</v>
      </c>
      <c r="P33" s="201" t="s">
        <v>51</v>
      </c>
      <c r="Q33" s="200" t="s">
        <v>52</v>
      </c>
      <c r="R33" s="200"/>
      <c r="S33" s="200"/>
      <c r="T33" s="200"/>
      <c r="U33" s="200"/>
      <c r="V33" s="200"/>
      <c r="W33" s="202">
        <f t="shared" si="0"/>
        <v>0.98697</v>
      </c>
      <c r="X33" s="201" t="s">
        <v>51</v>
      </c>
      <c r="Y33" s="201">
        <v>5</v>
      </c>
      <c r="Z33" s="201">
        <v>5.91</v>
      </c>
      <c r="AA33" s="201" t="s">
        <v>86</v>
      </c>
      <c r="AB33" s="200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</row>
    <row r="34" spans="1:55" s="9" customFormat="1" ht="51">
      <c r="A34" s="200" t="s">
        <v>48</v>
      </c>
      <c r="B34" s="201">
        <v>1301</v>
      </c>
      <c r="C34" s="200" t="s">
        <v>269</v>
      </c>
      <c r="D34" s="201">
        <v>30600904</v>
      </c>
      <c r="E34" s="200" t="s">
        <v>270</v>
      </c>
      <c r="F34" s="201" t="s">
        <v>75</v>
      </c>
      <c r="G34" s="201">
        <v>66</v>
      </c>
      <c r="H34" s="200" t="s">
        <v>242</v>
      </c>
      <c r="I34" s="201">
        <v>2891</v>
      </c>
      <c r="J34" s="200" t="s">
        <v>193</v>
      </c>
      <c r="K34" s="201">
        <v>1</v>
      </c>
      <c r="L34" s="201" t="s">
        <v>629</v>
      </c>
      <c r="M34" s="201">
        <v>1050</v>
      </c>
      <c r="N34" s="201" t="s">
        <v>791</v>
      </c>
      <c r="O34" s="201" t="s">
        <v>51</v>
      </c>
      <c r="P34" s="201" t="s">
        <v>51</v>
      </c>
      <c r="Q34" s="200" t="s">
        <v>52</v>
      </c>
      <c r="R34" s="200" t="s">
        <v>179</v>
      </c>
      <c r="S34" s="200">
        <v>23</v>
      </c>
      <c r="T34" s="200"/>
      <c r="U34" s="200"/>
      <c r="V34" s="200"/>
      <c r="W34" s="202">
        <f>(Z34*I34/2000)+498</f>
        <v>500.11043</v>
      </c>
      <c r="X34" s="201" t="s">
        <v>51</v>
      </c>
      <c r="Y34" s="201">
        <v>4</v>
      </c>
      <c r="Z34" s="201">
        <v>1.46</v>
      </c>
      <c r="AA34" s="200" t="s">
        <v>803</v>
      </c>
      <c r="AB34" s="203" t="s">
        <v>288</v>
      </c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1:55" s="9" customFormat="1" ht="12.75">
      <c r="A35" s="200" t="s">
        <v>48</v>
      </c>
      <c r="B35" s="201">
        <v>1304</v>
      </c>
      <c r="C35" s="200" t="s">
        <v>271</v>
      </c>
      <c r="D35" s="201">
        <v>20200202</v>
      </c>
      <c r="E35" s="200" t="s">
        <v>272</v>
      </c>
      <c r="F35" s="201" t="s">
        <v>75</v>
      </c>
      <c r="G35" s="201">
        <v>69</v>
      </c>
      <c r="H35" s="200" t="s">
        <v>177</v>
      </c>
      <c r="I35" s="201">
        <v>0.05</v>
      </c>
      <c r="J35" s="200" t="s">
        <v>85</v>
      </c>
      <c r="K35" s="201">
        <v>1520</v>
      </c>
      <c r="L35" s="201">
        <v>906</v>
      </c>
      <c r="M35" s="201">
        <v>1050</v>
      </c>
      <c r="N35" s="201" t="s">
        <v>791</v>
      </c>
      <c r="O35" s="201" t="s">
        <v>51</v>
      </c>
      <c r="P35" s="201" t="s">
        <v>51</v>
      </c>
      <c r="Q35" s="200" t="s">
        <v>52</v>
      </c>
      <c r="R35" s="200"/>
      <c r="S35" s="200"/>
      <c r="T35" s="200"/>
      <c r="U35" s="200"/>
      <c r="V35" s="200"/>
      <c r="W35" s="202">
        <f aca="true" t="shared" si="1" ref="W35:W40">Z35*I35/2000</f>
        <v>0.00014775</v>
      </c>
      <c r="X35" s="201" t="s">
        <v>51</v>
      </c>
      <c r="Y35" s="201">
        <v>5</v>
      </c>
      <c r="Z35" s="201">
        <v>5.91</v>
      </c>
      <c r="AA35" s="201" t="s">
        <v>86</v>
      </c>
      <c r="AB35" s="200" t="s">
        <v>273</v>
      </c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</row>
    <row r="36" spans="1:55" s="9" customFormat="1" ht="25.5">
      <c r="A36" s="200" t="s">
        <v>48</v>
      </c>
      <c r="B36" s="201">
        <v>2645</v>
      </c>
      <c r="C36" s="200" t="s">
        <v>274</v>
      </c>
      <c r="D36" s="201">
        <v>30600904</v>
      </c>
      <c r="E36" s="200" t="s">
        <v>275</v>
      </c>
      <c r="F36" s="201" t="s">
        <v>75</v>
      </c>
      <c r="G36" s="201">
        <v>1793</v>
      </c>
      <c r="H36" s="200" t="s">
        <v>242</v>
      </c>
      <c r="I36" s="201">
        <v>2891</v>
      </c>
      <c r="J36" s="200" t="s">
        <v>193</v>
      </c>
      <c r="K36" s="201">
        <v>2.9</v>
      </c>
      <c r="L36" s="201" t="s">
        <v>629</v>
      </c>
      <c r="M36" s="201">
        <v>1050</v>
      </c>
      <c r="N36" s="201" t="s">
        <v>791</v>
      </c>
      <c r="O36" s="201" t="s">
        <v>51</v>
      </c>
      <c r="P36" s="201" t="s">
        <v>51</v>
      </c>
      <c r="Q36" s="200" t="s">
        <v>52</v>
      </c>
      <c r="R36" s="200" t="s">
        <v>179</v>
      </c>
      <c r="S36" s="200">
        <v>23</v>
      </c>
      <c r="T36" s="200"/>
      <c r="U36" s="200"/>
      <c r="V36" s="200"/>
      <c r="W36" s="202">
        <f t="shared" si="1"/>
        <v>2.11043</v>
      </c>
      <c r="X36" s="201" t="s">
        <v>51</v>
      </c>
      <c r="Y36" s="201">
        <v>4</v>
      </c>
      <c r="Z36" s="201">
        <v>1.46</v>
      </c>
      <c r="AA36" s="200" t="s">
        <v>803</v>
      </c>
      <c r="AB36" s="203" t="s">
        <v>289</v>
      </c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</row>
    <row r="37" spans="1:55" s="9" customFormat="1" ht="12.75">
      <c r="A37" s="200" t="s">
        <v>48</v>
      </c>
      <c r="B37" s="201">
        <v>2646</v>
      </c>
      <c r="C37" s="200" t="s">
        <v>276</v>
      </c>
      <c r="D37" s="201">
        <v>30600106</v>
      </c>
      <c r="E37" s="200" t="s">
        <v>277</v>
      </c>
      <c r="F37" s="201" t="s">
        <v>75</v>
      </c>
      <c r="G37" s="201">
        <v>1794</v>
      </c>
      <c r="H37" s="200" t="s">
        <v>242</v>
      </c>
      <c r="I37" s="201">
        <v>25</v>
      </c>
      <c r="J37" s="200" t="s">
        <v>85</v>
      </c>
      <c r="K37" s="201">
        <v>3.8</v>
      </c>
      <c r="L37" s="201" t="s">
        <v>629</v>
      </c>
      <c r="M37" s="201">
        <v>1050</v>
      </c>
      <c r="N37" s="201" t="s">
        <v>791</v>
      </c>
      <c r="O37" s="201" t="s">
        <v>51</v>
      </c>
      <c r="P37" s="201" t="s">
        <v>51</v>
      </c>
      <c r="Q37" s="200" t="s">
        <v>52</v>
      </c>
      <c r="R37" s="200"/>
      <c r="S37" s="200"/>
      <c r="T37" s="200"/>
      <c r="U37" s="200"/>
      <c r="V37" s="200"/>
      <c r="W37" s="202">
        <f t="shared" si="1"/>
        <v>0.073875</v>
      </c>
      <c r="X37" s="201" t="s">
        <v>51</v>
      </c>
      <c r="Y37" s="201">
        <v>5</v>
      </c>
      <c r="Z37" s="201">
        <v>5.91</v>
      </c>
      <c r="AA37" s="201" t="s">
        <v>86</v>
      </c>
      <c r="AB37" s="200" t="s">
        <v>245</v>
      </c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</row>
    <row r="38" spans="1:55" s="9" customFormat="1" ht="12.75">
      <c r="A38" s="200" t="s">
        <v>48</v>
      </c>
      <c r="B38" s="201">
        <v>2647</v>
      </c>
      <c r="C38" s="200" t="s">
        <v>278</v>
      </c>
      <c r="D38" s="201">
        <v>30600106</v>
      </c>
      <c r="E38" s="200" t="s">
        <v>279</v>
      </c>
      <c r="F38" s="201" t="s">
        <v>75</v>
      </c>
      <c r="G38" s="201">
        <v>1795</v>
      </c>
      <c r="H38" s="200" t="s">
        <v>242</v>
      </c>
      <c r="I38" s="201">
        <v>21</v>
      </c>
      <c r="J38" s="200" t="s">
        <v>85</v>
      </c>
      <c r="K38" s="201">
        <v>2.2</v>
      </c>
      <c r="L38" s="201" t="s">
        <v>629</v>
      </c>
      <c r="M38" s="201">
        <v>1050</v>
      </c>
      <c r="N38" s="201" t="s">
        <v>791</v>
      </c>
      <c r="O38" s="201" t="s">
        <v>51</v>
      </c>
      <c r="P38" s="201" t="s">
        <v>51</v>
      </c>
      <c r="Q38" s="200" t="s">
        <v>52</v>
      </c>
      <c r="R38" s="200"/>
      <c r="S38" s="200"/>
      <c r="T38" s="200"/>
      <c r="U38" s="200"/>
      <c r="V38" s="200"/>
      <c r="W38" s="202">
        <f t="shared" si="1"/>
        <v>0.062055</v>
      </c>
      <c r="X38" s="201" t="s">
        <v>51</v>
      </c>
      <c r="Y38" s="201">
        <v>5</v>
      </c>
      <c r="Z38" s="201">
        <v>5.91</v>
      </c>
      <c r="AA38" s="201" t="s">
        <v>86</v>
      </c>
      <c r="AB38" s="200" t="s">
        <v>260</v>
      </c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</row>
    <row r="39" spans="1:55" s="9" customFormat="1" ht="12.75">
      <c r="A39" s="200" t="s">
        <v>48</v>
      </c>
      <c r="B39" s="201">
        <v>2648</v>
      </c>
      <c r="C39" s="200" t="s">
        <v>280</v>
      </c>
      <c r="D39" s="201">
        <v>30600106</v>
      </c>
      <c r="E39" s="200" t="s">
        <v>281</v>
      </c>
      <c r="F39" s="201" t="s">
        <v>75</v>
      </c>
      <c r="G39" s="201">
        <v>1796</v>
      </c>
      <c r="H39" s="200" t="s">
        <v>242</v>
      </c>
      <c r="I39" s="201">
        <v>46</v>
      </c>
      <c r="J39" s="200" t="s">
        <v>85</v>
      </c>
      <c r="K39" s="201">
        <v>6.6</v>
      </c>
      <c r="L39" s="201" t="s">
        <v>629</v>
      </c>
      <c r="M39" s="201">
        <v>1050</v>
      </c>
      <c r="N39" s="201" t="s">
        <v>791</v>
      </c>
      <c r="O39" s="201" t="s">
        <v>51</v>
      </c>
      <c r="P39" s="201" t="s">
        <v>51</v>
      </c>
      <c r="Q39" s="200" t="s">
        <v>52</v>
      </c>
      <c r="R39" s="200"/>
      <c r="S39" s="200"/>
      <c r="T39" s="200"/>
      <c r="U39" s="200"/>
      <c r="V39" s="200"/>
      <c r="W39" s="202">
        <f t="shared" si="1"/>
        <v>0.13593</v>
      </c>
      <c r="X39" s="201" t="s">
        <v>51</v>
      </c>
      <c r="Y39" s="201">
        <v>5</v>
      </c>
      <c r="Z39" s="201">
        <v>5.91</v>
      </c>
      <c r="AA39" s="201" t="s">
        <v>86</v>
      </c>
      <c r="AB39" s="200" t="s">
        <v>282</v>
      </c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</row>
    <row r="40" spans="1:55" s="9" customFormat="1" ht="12.75">
      <c r="A40" s="200" t="s">
        <v>48</v>
      </c>
      <c r="B40" s="201">
        <v>2649</v>
      </c>
      <c r="C40" s="200" t="s">
        <v>283</v>
      </c>
      <c r="D40" s="201">
        <v>30609904</v>
      </c>
      <c r="E40" s="200" t="s">
        <v>284</v>
      </c>
      <c r="F40" s="201" t="s">
        <v>75</v>
      </c>
      <c r="G40" s="201">
        <v>1797</v>
      </c>
      <c r="H40" s="200" t="s">
        <v>242</v>
      </c>
      <c r="I40" s="201">
        <v>3.34</v>
      </c>
      <c r="J40" s="200" t="s">
        <v>85</v>
      </c>
      <c r="K40" s="201">
        <v>3</v>
      </c>
      <c r="L40" s="201" t="s">
        <v>629</v>
      </c>
      <c r="M40" s="201">
        <v>1050</v>
      </c>
      <c r="N40" s="201" t="s">
        <v>791</v>
      </c>
      <c r="O40" s="201" t="s">
        <v>51</v>
      </c>
      <c r="P40" s="201" t="s">
        <v>51</v>
      </c>
      <c r="Q40" s="200" t="s">
        <v>52</v>
      </c>
      <c r="R40" s="200"/>
      <c r="S40" s="200"/>
      <c r="T40" s="200"/>
      <c r="U40" s="200"/>
      <c r="V40" s="200"/>
      <c r="W40" s="202">
        <f t="shared" si="1"/>
        <v>0.0098697</v>
      </c>
      <c r="X40" s="201" t="s">
        <v>51</v>
      </c>
      <c r="Y40" s="201">
        <v>5</v>
      </c>
      <c r="Z40" s="201">
        <v>5.91</v>
      </c>
      <c r="AA40" s="201" t="s">
        <v>86</v>
      </c>
      <c r="AB40" s="200" t="s">
        <v>260</v>
      </c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</row>
    <row r="41" spans="1:55" s="9" customFormat="1" ht="13.5" thickBo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447" t="s">
        <v>409</v>
      </c>
      <c r="W41" s="448">
        <f>SUM(W12:W40)</f>
        <v>573.84920245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</row>
    <row r="42" spans="1:55" ht="13.5" thickTop="1">
      <c r="A42" s="74"/>
      <c r="B42" s="74"/>
      <c r="C42" s="74" t="s">
        <v>293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99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</row>
    <row r="43" spans="1:55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99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</row>
    <row r="44" spans="2:55" ht="12.75">
      <c r="B44" s="74"/>
      <c r="C44" s="198">
        <v>1288</v>
      </c>
      <c r="D44" s="197" t="s">
        <v>290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99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</row>
    <row r="45" spans="2:55" ht="12.75">
      <c r="B45" s="74"/>
      <c r="C45" s="198">
        <v>1289</v>
      </c>
      <c r="D45" s="197" t="s">
        <v>290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99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</row>
    <row r="46" spans="2:55" ht="12.75">
      <c r="B46" s="74"/>
      <c r="C46" s="198">
        <v>1290</v>
      </c>
      <c r="D46" s="197" t="s">
        <v>290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99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</row>
    <row r="47" spans="1:55" ht="12.75">
      <c r="A47" s="74"/>
      <c r="C47" s="198">
        <v>1291</v>
      </c>
      <c r="D47" s="197" t="s">
        <v>290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99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</row>
    <row r="48" spans="1:55" ht="12.75">
      <c r="A48" s="74"/>
      <c r="C48" s="198">
        <v>1292</v>
      </c>
      <c r="D48" s="197" t="s">
        <v>290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99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</row>
    <row r="49" spans="1:55" ht="12.75">
      <c r="A49" s="74"/>
      <c r="C49" s="198">
        <v>1293</v>
      </c>
      <c r="D49" s="197" t="s">
        <v>290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99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</row>
    <row r="50" spans="3:23" ht="12.75">
      <c r="C50" s="198">
        <v>1294</v>
      </c>
      <c r="D50" s="197" t="s">
        <v>290</v>
      </c>
      <c r="W50" s="45"/>
    </row>
    <row r="51" spans="3:23" ht="12.75">
      <c r="C51" s="198">
        <v>1295</v>
      </c>
      <c r="D51" s="197" t="s">
        <v>290</v>
      </c>
      <c r="W51" s="45"/>
    </row>
    <row r="52" spans="3:23" ht="12.75">
      <c r="C52" s="198">
        <v>1296</v>
      </c>
      <c r="D52" s="197" t="s">
        <v>290</v>
      </c>
      <c r="W52" s="45"/>
    </row>
    <row r="53" spans="3:23" ht="12.75">
      <c r="C53" s="198">
        <v>1297</v>
      </c>
      <c r="D53" s="197" t="s">
        <v>290</v>
      </c>
      <c r="W53" s="45"/>
    </row>
    <row r="54" spans="3:23" ht="12.75">
      <c r="C54" s="198" t="s">
        <v>410</v>
      </c>
      <c r="D54" s="197" t="s">
        <v>290</v>
      </c>
      <c r="W54" s="45"/>
    </row>
    <row r="55" spans="4:23" ht="12.75">
      <c r="D55" s="74" t="s">
        <v>801</v>
      </c>
      <c r="W55" s="45"/>
    </row>
    <row r="56" spans="3:23" ht="12.75">
      <c r="C56" s="198" t="s">
        <v>411</v>
      </c>
      <c r="D56" s="197" t="s">
        <v>292</v>
      </c>
      <c r="W56" s="45"/>
    </row>
    <row r="57" spans="3:23" ht="12.75">
      <c r="C57" s="198"/>
      <c r="D57" s="74" t="s">
        <v>802</v>
      </c>
      <c r="W57" s="45"/>
    </row>
    <row r="58" spans="3:23" ht="12.75">
      <c r="C58" s="198">
        <v>1300</v>
      </c>
      <c r="D58" s="197" t="s">
        <v>290</v>
      </c>
      <c r="W58" s="45"/>
    </row>
    <row r="59" ht="12.75">
      <c r="W59" s="45"/>
    </row>
    <row r="60" ht="12.75">
      <c r="W60" s="45"/>
    </row>
    <row r="61" ht="12.75">
      <c r="W61" s="45"/>
    </row>
    <row r="62" ht="12.75">
      <c r="W62" s="45"/>
    </row>
    <row r="63" ht="12.75">
      <c r="W63" s="45"/>
    </row>
    <row r="64" ht="12.75">
      <c r="W64" s="45"/>
    </row>
    <row r="65" ht="12.75">
      <c r="W65" s="45"/>
    </row>
    <row r="66" ht="12.75">
      <c r="W66" s="45"/>
    </row>
    <row r="67" ht="12.75">
      <c r="W67" s="45"/>
    </row>
    <row r="68" ht="12.75">
      <c r="W68" s="45"/>
    </row>
    <row r="69" ht="12.75">
      <c r="W69" s="45"/>
    </row>
    <row r="70" ht="12.75">
      <c r="W70" s="45"/>
    </row>
    <row r="71" ht="12.75">
      <c r="W71" s="45"/>
    </row>
    <row r="72" ht="12.75">
      <c r="W72" s="45"/>
    </row>
    <row r="73" ht="12.75">
      <c r="W73" s="45"/>
    </row>
    <row r="74" ht="12.75">
      <c r="W74" s="45"/>
    </row>
    <row r="75" ht="12.75">
      <c r="W75" s="45"/>
    </row>
    <row r="76" ht="12.75">
      <c r="W76" s="45"/>
    </row>
    <row r="77" ht="12.75">
      <c r="W77" s="45"/>
    </row>
    <row r="78" ht="12.75">
      <c r="W78" s="45"/>
    </row>
    <row r="79" ht="12.75">
      <c r="W79" s="45"/>
    </row>
    <row r="80" ht="12.75">
      <c r="W80" s="45"/>
    </row>
    <row r="81" ht="12.75">
      <c r="W81" s="45"/>
    </row>
    <row r="82" ht="12.75">
      <c r="W82" s="45"/>
    </row>
    <row r="83" ht="12.75">
      <c r="W83" s="45"/>
    </row>
    <row r="84" ht="12.75">
      <c r="W84" s="45"/>
    </row>
    <row r="85" ht="12.75">
      <c r="W85" s="45"/>
    </row>
    <row r="86" ht="12.75">
      <c r="W86" s="45"/>
    </row>
    <row r="87" ht="12.75">
      <c r="W87" s="45"/>
    </row>
    <row r="88" ht="12.75">
      <c r="W88" s="45"/>
    </row>
    <row r="89" ht="12.75">
      <c r="W89" s="45"/>
    </row>
    <row r="90" ht="12.75">
      <c r="W90" s="45"/>
    </row>
    <row r="91" ht="12.75">
      <c r="W91" s="45"/>
    </row>
    <row r="92" ht="12.75">
      <c r="W92" s="45"/>
    </row>
    <row r="93" ht="12.75">
      <c r="W93" s="45"/>
    </row>
    <row r="94" ht="12.75">
      <c r="W94" s="45"/>
    </row>
    <row r="95" ht="12.75">
      <c r="W95" s="45"/>
    </row>
    <row r="96" ht="12.75">
      <c r="W96" s="45"/>
    </row>
    <row r="97" ht="12.75">
      <c r="W97" s="45"/>
    </row>
    <row r="98" ht="12.75">
      <c r="W98" s="45"/>
    </row>
    <row r="99" ht="12.75">
      <c r="W99" s="45"/>
    </row>
    <row r="100" ht="12.75">
      <c r="W100" s="45"/>
    </row>
    <row r="101" ht="12.75">
      <c r="W101" s="45"/>
    </row>
    <row r="102" ht="12.75">
      <c r="W102" s="45"/>
    </row>
    <row r="103" ht="12.75">
      <c r="W103" s="45"/>
    </row>
    <row r="104" ht="12.75">
      <c r="W104" s="45"/>
    </row>
    <row r="105" ht="12.75">
      <c r="W105" s="45"/>
    </row>
    <row r="106" ht="12.75">
      <c r="W106" s="45"/>
    </row>
    <row r="107" ht="12.75">
      <c r="W107" s="45"/>
    </row>
    <row r="108" ht="12.75">
      <c r="W108" s="45"/>
    </row>
    <row r="109" ht="12.75">
      <c r="W109" s="45"/>
    </row>
    <row r="110" ht="12.75">
      <c r="W110" s="45"/>
    </row>
    <row r="111" ht="12.75">
      <c r="W111" s="45"/>
    </row>
    <row r="112" ht="12.75">
      <c r="W112" s="45"/>
    </row>
    <row r="113" ht="12.75">
      <c r="W113" s="45"/>
    </row>
    <row r="114" ht="12.75">
      <c r="W114" s="45"/>
    </row>
    <row r="115" ht="12.75">
      <c r="W115" s="45"/>
    </row>
    <row r="116" ht="12.75">
      <c r="W116" s="45"/>
    </row>
    <row r="117" ht="12.75">
      <c r="W117" s="45"/>
    </row>
    <row r="118" ht="12.75">
      <c r="W118" s="45"/>
    </row>
    <row r="119" ht="12.75">
      <c r="W119" s="45"/>
    </row>
    <row r="120" ht="12.75">
      <c r="W120" s="45"/>
    </row>
    <row r="121" ht="12.75">
      <c r="W121" s="45"/>
    </row>
    <row r="122" ht="12.75">
      <c r="W122" s="45"/>
    </row>
    <row r="123" ht="12.75">
      <c r="W123" s="45"/>
    </row>
    <row r="124" ht="12.75">
      <c r="W124" s="45"/>
    </row>
    <row r="125" ht="12.75">
      <c r="W125" s="45"/>
    </row>
  </sheetData>
  <mergeCells count="24">
    <mergeCell ref="I9:L10"/>
    <mergeCell ref="M9:P10"/>
    <mergeCell ref="Q9:Q11"/>
    <mergeCell ref="R9:S9"/>
    <mergeCell ref="R10:R11"/>
    <mergeCell ref="S10:S11"/>
    <mergeCell ref="E9:E11"/>
    <mergeCell ref="F9:F11"/>
    <mergeCell ref="G9:G11"/>
    <mergeCell ref="H9:H11"/>
    <mergeCell ref="A9:A11"/>
    <mergeCell ref="B9:B11"/>
    <mergeCell ref="C9:C11"/>
    <mergeCell ref="D9:D11"/>
    <mergeCell ref="AB9:AB11"/>
    <mergeCell ref="T9:U9"/>
    <mergeCell ref="V9:V11"/>
    <mergeCell ref="W9:W11"/>
    <mergeCell ref="U10:U11"/>
    <mergeCell ref="T10:T11"/>
    <mergeCell ref="X9:X11"/>
    <mergeCell ref="Y9:Y11"/>
    <mergeCell ref="Z9:Z11"/>
    <mergeCell ref="AA9:AA11"/>
  </mergeCells>
  <printOptions/>
  <pageMargins left="0.35" right="0.16" top="1.77" bottom="1" header="0.5" footer="0.5"/>
  <pageSetup horizontalDpi="600" verticalDpi="600" orientation="landscape" pageOrder="overThenDown" r:id="rId3"/>
  <headerFooter alignWithMargins="0">
    <oddHeader>&amp;L
Flying J Incorporated
Site Name:  Flying J Refinery 
(Big West Oil Co.)
Site ID 10122&amp;C&amp;"Arial,Bold"Regional Haze&amp;"Arial,Regular"
1996 Statewide SOx Sources</oddHeader>
    <oddFooter>&amp;R&amp;D
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4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28125" style="40" customWidth="1"/>
    <col min="3" max="3" width="9.8515625" style="0" customWidth="1"/>
    <col min="4" max="4" width="9.7109375" style="40" customWidth="1"/>
    <col min="5" max="5" width="32.421875" style="0" bestFit="1" customWidth="1"/>
    <col min="6" max="6" width="8.140625" style="0" customWidth="1"/>
    <col min="7" max="7" width="10.7109375" style="40" customWidth="1"/>
    <col min="8" max="8" width="30.00390625" style="0" bestFit="1" customWidth="1"/>
    <col min="9" max="9" width="9.57421875" style="0" bestFit="1" customWidth="1"/>
    <col min="10" max="10" width="16.7109375" style="19" customWidth="1"/>
    <col min="11" max="11" width="11.57421875" style="0" bestFit="1" customWidth="1"/>
    <col min="12" max="12" width="7.140625" style="0" customWidth="1"/>
    <col min="13" max="13" width="8.28125" style="40" customWidth="1"/>
    <col min="14" max="14" width="6.421875" style="0" customWidth="1"/>
    <col min="15" max="15" width="7.57421875" style="0" customWidth="1"/>
    <col min="16" max="16" width="6.140625" style="0" customWidth="1"/>
    <col min="17" max="17" width="9.28125" style="0" bestFit="1" customWidth="1"/>
    <col min="18" max="18" width="15.7109375" style="0" customWidth="1"/>
    <col min="19" max="19" width="9.140625" style="40" customWidth="1"/>
    <col min="20" max="20" width="17.7109375" style="0" customWidth="1"/>
    <col min="21" max="21" width="9.28125" style="0" bestFit="1" customWidth="1"/>
    <col min="22" max="22" width="9.28125" style="36" customWidth="1"/>
    <col min="23" max="23" width="10.140625" style="0" customWidth="1"/>
    <col min="24" max="24" width="11.421875" style="0" customWidth="1"/>
    <col min="25" max="25" width="9.28125" style="36" customWidth="1"/>
    <col min="26" max="26" width="9.28125" style="40" bestFit="1" customWidth="1"/>
    <col min="27" max="27" width="18.57421875" style="0" bestFit="1" customWidth="1"/>
    <col min="28" max="28" width="48.421875" style="40" customWidth="1"/>
    <col min="29" max="29" width="29.140625" style="0" customWidth="1"/>
    <col min="30" max="30" width="9.28125" style="0" bestFit="1" customWidth="1"/>
  </cols>
  <sheetData>
    <row r="1" spans="2:5" ht="15.75">
      <c r="B1" s="41"/>
      <c r="E1" s="4" t="s">
        <v>44</v>
      </c>
    </row>
    <row r="2" spans="1:5" ht="15">
      <c r="A2" s="14"/>
      <c r="B2" s="41"/>
      <c r="E2" s="5" t="s">
        <v>199</v>
      </c>
    </row>
    <row r="3" spans="1:5" ht="15">
      <c r="A3" s="39" t="s">
        <v>294</v>
      </c>
      <c r="B3" s="41"/>
      <c r="E3" s="5"/>
    </row>
    <row r="4" spans="1:3" ht="12.75">
      <c r="A4" s="14" t="s">
        <v>13</v>
      </c>
      <c r="B4" s="41" t="s">
        <v>14</v>
      </c>
      <c r="C4" s="39" t="s">
        <v>295</v>
      </c>
    </row>
    <row r="5" spans="1:2" ht="12.75">
      <c r="A5" s="14">
        <v>10796</v>
      </c>
      <c r="B5" s="41"/>
    </row>
    <row r="6" ht="13.5" thickBot="1"/>
    <row r="7" spans="1:66" ht="16.5" customHeight="1">
      <c r="A7" s="512" t="s">
        <v>43</v>
      </c>
      <c r="B7" s="515" t="s">
        <v>29</v>
      </c>
      <c r="C7" s="503" t="s">
        <v>28</v>
      </c>
      <c r="D7" s="503" t="s">
        <v>27</v>
      </c>
      <c r="E7" s="503" t="s">
        <v>26</v>
      </c>
      <c r="F7" s="503" t="s">
        <v>23</v>
      </c>
      <c r="G7" s="503" t="s">
        <v>24</v>
      </c>
      <c r="H7" s="503" t="s">
        <v>25</v>
      </c>
      <c r="I7" s="592" t="s">
        <v>451</v>
      </c>
      <c r="J7" s="562"/>
      <c r="K7" s="562"/>
      <c r="L7" s="593"/>
      <c r="M7" s="584" t="s">
        <v>15</v>
      </c>
      <c r="N7" s="578"/>
      <c r="O7" s="578"/>
      <c r="P7" s="578"/>
      <c r="Q7" s="503" t="s">
        <v>32</v>
      </c>
      <c r="R7" s="545" t="s">
        <v>30</v>
      </c>
      <c r="S7" s="545"/>
      <c r="T7" s="545" t="s">
        <v>31</v>
      </c>
      <c r="U7" s="545"/>
      <c r="V7" s="503" t="s">
        <v>40</v>
      </c>
      <c r="W7" s="582" t="s">
        <v>286</v>
      </c>
      <c r="X7" s="503" t="s">
        <v>34</v>
      </c>
      <c r="Y7" s="503" t="s">
        <v>36</v>
      </c>
      <c r="Z7" s="503" t="s">
        <v>37</v>
      </c>
      <c r="AA7" s="503" t="s">
        <v>38</v>
      </c>
      <c r="AB7" s="573" t="s">
        <v>39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</row>
    <row r="8" spans="1:66" s="1" customFormat="1" ht="24.75" customHeight="1">
      <c r="A8" s="576"/>
      <c r="B8" s="581"/>
      <c r="C8" s="577"/>
      <c r="D8" s="577"/>
      <c r="E8" s="577"/>
      <c r="F8" s="577"/>
      <c r="G8" s="577"/>
      <c r="H8" s="577"/>
      <c r="I8" s="594"/>
      <c r="J8" s="595"/>
      <c r="K8" s="595"/>
      <c r="L8" s="596"/>
      <c r="M8" s="585"/>
      <c r="N8" s="577"/>
      <c r="O8" s="577"/>
      <c r="P8" s="577"/>
      <c r="Q8" s="572"/>
      <c r="R8" s="528" t="s">
        <v>41</v>
      </c>
      <c r="S8" s="528" t="s">
        <v>33</v>
      </c>
      <c r="T8" s="528" t="s">
        <v>42</v>
      </c>
      <c r="U8" s="528" t="s">
        <v>33</v>
      </c>
      <c r="V8" s="528"/>
      <c r="W8" s="583"/>
      <c r="X8" s="528"/>
      <c r="Y8" s="528"/>
      <c r="Z8" s="528"/>
      <c r="AA8" s="572"/>
      <c r="AB8" s="574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 ht="25.5" customHeight="1" thickBot="1">
      <c r="A9" s="589"/>
      <c r="B9" s="590"/>
      <c r="C9" s="591"/>
      <c r="D9" s="591"/>
      <c r="E9" s="591"/>
      <c r="F9" s="591"/>
      <c r="G9" s="591"/>
      <c r="H9" s="591"/>
      <c r="I9" s="59" t="s">
        <v>17</v>
      </c>
      <c r="J9" s="216" t="s">
        <v>18</v>
      </c>
      <c r="K9" s="59" t="s">
        <v>16</v>
      </c>
      <c r="L9" s="217" t="s">
        <v>19</v>
      </c>
      <c r="M9" s="218" t="s">
        <v>20</v>
      </c>
      <c r="N9" s="59" t="s">
        <v>19</v>
      </c>
      <c r="O9" s="59" t="s">
        <v>21</v>
      </c>
      <c r="P9" s="59" t="s">
        <v>22</v>
      </c>
      <c r="Q9" s="586"/>
      <c r="R9" s="490"/>
      <c r="S9" s="490"/>
      <c r="T9" s="586"/>
      <c r="U9" s="490"/>
      <c r="V9" s="490"/>
      <c r="W9" s="588"/>
      <c r="X9" s="490"/>
      <c r="Y9" s="490"/>
      <c r="Z9" s="490"/>
      <c r="AA9" s="586"/>
      <c r="AB9" s="587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</row>
    <row r="10" spans="1:28" ht="12.75">
      <c r="A10" s="219" t="s">
        <v>97</v>
      </c>
      <c r="B10" s="220">
        <v>980</v>
      </c>
      <c r="C10" s="221" t="s">
        <v>296</v>
      </c>
      <c r="D10" s="220">
        <v>30300999</v>
      </c>
      <c r="E10" s="221" t="s">
        <v>297</v>
      </c>
      <c r="F10" s="222" t="s">
        <v>75</v>
      </c>
      <c r="G10" s="220">
        <v>0</v>
      </c>
      <c r="H10" s="221" t="s">
        <v>204</v>
      </c>
      <c r="I10" s="222">
        <v>125.347</v>
      </c>
      <c r="J10" s="221" t="s">
        <v>610</v>
      </c>
      <c r="K10" s="222"/>
      <c r="L10" s="222"/>
      <c r="M10" s="223">
        <v>0</v>
      </c>
      <c r="N10" s="224" t="s">
        <v>95</v>
      </c>
      <c r="O10" s="222"/>
      <c r="P10" s="222"/>
      <c r="Q10" s="221" t="s">
        <v>52</v>
      </c>
      <c r="R10" s="221"/>
      <c r="S10" s="225"/>
      <c r="T10" s="221"/>
      <c r="U10" s="221"/>
      <c r="V10" s="226"/>
      <c r="W10" s="222">
        <f>Z10*I10/2000</f>
        <v>0.33091608</v>
      </c>
      <c r="X10" s="227" t="s">
        <v>51</v>
      </c>
      <c r="Y10" s="220">
        <v>3</v>
      </c>
      <c r="Z10" s="223">
        <v>5.28</v>
      </c>
      <c r="AA10" s="224" t="s">
        <v>806</v>
      </c>
      <c r="AB10" s="228" t="s">
        <v>347</v>
      </c>
    </row>
    <row r="11" spans="1:28" ht="12.75">
      <c r="A11" s="229" t="s">
        <v>97</v>
      </c>
      <c r="B11" s="207">
        <v>1127</v>
      </c>
      <c r="C11" s="206" t="s">
        <v>298</v>
      </c>
      <c r="D11" s="207">
        <v>30300999</v>
      </c>
      <c r="E11" s="206" t="s">
        <v>211</v>
      </c>
      <c r="F11" s="208" t="s">
        <v>75</v>
      </c>
      <c r="G11" s="207">
        <v>0</v>
      </c>
      <c r="H11" s="206" t="s">
        <v>207</v>
      </c>
      <c r="I11" s="208">
        <v>866.918</v>
      </c>
      <c r="J11" s="206" t="s">
        <v>610</v>
      </c>
      <c r="K11" s="208"/>
      <c r="L11" s="208"/>
      <c r="M11" s="209">
        <v>0</v>
      </c>
      <c r="N11" s="210" t="s">
        <v>95</v>
      </c>
      <c r="O11" s="208"/>
      <c r="P11" s="208"/>
      <c r="Q11" s="206" t="s">
        <v>52</v>
      </c>
      <c r="R11" s="206"/>
      <c r="S11" s="211"/>
      <c r="T11" s="206"/>
      <c r="U11" s="206"/>
      <c r="V11" s="212"/>
      <c r="W11" s="208">
        <f>Z11*I11/2000</f>
        <v>13.4805749</v>
      </c>
      <c r="X11" s="213" t="s">
        <v>51</v>
      </c>
      <c r="Y11" s="207">
        <v>3</v>
      </c>
      <c r="Z11" s="209">
        <v>31.1</v>
      </c>
      <c r="AA11" s="210" t="s">
        <v>806</v>
      </c>
      <c r="AB11" s="230" t="s">
        <v>347</v>
      </c>
    </row>
    <row r="12" spans="1:28" ht="12.75">
      <c r="A12" s="229" t="s">
        <v>48</v>
      </c>
      <c r="B12" s="207">
        <v>2604</v>
      </c>
      <c r="C12" s="206" t="s">
        <v>299</v>
      </c>
      <c r="D12" s="207">
        <v>30300315</v>
      </c>
      <c r="E12" s="206" t="s">
        <v>300</v>
      </c>
      <c r="F12" s="208" t="s">
        <v>75</v>
      </c>
      <c r="G12" s="207">
        <v>0</v>
      </c>
      <c r="H12" s="206" t="s">
        <v>301</v>
      </c>
      <c r="I12" s="208">
        <v>13145</v>
      </c>
      <c r="J12" s="206" t="s">
        <v>348</v>
      </c>
      <c r="K12" s="208"/>
      <c r="L12" s="208"/>
      <c r="M12" s="209">
        <v>500</v>
      </c>
      <c r="N12" s="210" t="s">
        <v>791</v>
      </c>
      <c r="O12" s="208">
        <v>0.52</v>
      </c>
      <c r="P12" s="208"/>
      <c r="Q12" s="206" t="s">
        <v>52</v>
      </c>
      <c r="R12" s="206" t="s">
        <v>349</v>
      </c>
      <c r="S12" s="211">
        <v>45</v>
      </c>
      <c r="T12" s="206"/>
      <c r="U12" s="206"/>
      <c r="V12" s="212">
        <v>0.93</v>
      </c>
      <c r="W12" s="208">
        <v>1797.8</v>
      </c>
      <c r="X12" s="213">
        <v>0.31</v>
      </c>
      <c r="Y12" s="207">
        <v>10</v>
      </c>
      <c r="Z12" s="209" t="s">
        <v>350</v>
      </c>
      <c r="AA12" s="211" t="s">
        <v>51</v>
      </c>
      <c r="AB12" s="230" t="s">
        <v>195</v>
      </c>
    </row>
    <row r="13" spans="1:28" ht="12.75">
      <c r="A13" s="229" t="s">
        <v>48</v>
      </c>
      <c r="B13" s="207">
        <v>3681</v>
      </c>
      <c r="C13" s="206" t="s">
        <v>302</v>
      </c>
      <c r="D13" s="207">
        <v>30301580</v>
      </c>
      <c r="E13" s="206" t="s">
        <v>303</v>
      </c>
      <c r="F13" s="208" t="s">
        <v>75</v>
      </c>
      <c r="G13" s="207">
        <v>0</v>
      </c>
      <c r="H13" s="206" t="s">
        <v>352</v>
      </c>
      <c r="I13" s="208">
        <v>348.2</v>
      </c>
      <c r="J13" s="206" t="s">
        <v>348</v>
      </c>
      <c r="K13" s="208"/>
      <c r="L13" s="208"/>
      <c r="M13" s="209">
        <v>1000</v>
      </c>
      <c r="N13" s="210" t="s">
        <v>791</v>
      </c>
      <c r="O13" s="208" t="s">
        <v>51</v>
      </c>
      <c r="P13" s="208"/>
      <c r="Q13" s="206" t="s">
        <v>52</v>
      </c>
      <c r="R13" s="206"/>
      <c r="S13" s="211"/>
      <c r="T13" s="206"/>
      <c r="U13" s="206"/>
      <c r="V13" s="212"/>
      <c r="W13" s="214">
        <f>Z13*I13/2000</f>
        <v>0.10446</v>
      </c>
      <c r="X13" s="213"/>
      <c r="Y13" s="207">
        <v>2</v>
      </c>
      <c r="Z13" s="209">
        <v>0.6</v>
      </c>
      <c r="AA13" s="210" t="s">
        <v>807</v>
      </c>
      <c r="AB13" s="230" t="s">
        <v>351</v>
      </c>
    </row>
    <row r="14" spans="1:28" ht="12.75">
      <c r="A14" s="229" t="s">
        <v>48</v>
      </c>
      <c r="B14" s="207">
        <v>4212</v>
      </c>
      <c r="C14" s="206" t="s">
        <v>304</v>
      </c>
      <c r="D14" s="207">
        <v>30301581</v>
      </c>
      <c r="E14" s="206" t="s">
        <v>305</v>
      </c>
      <c r="F14" s="208" t="s">
        <v>75</v>
      </c>
      <c r="G14" s="207">
        <v>13</v>
      </c>
      <c r="H14" s="206" t="s">
        <v>177</v>
      </c>
      <c r="I14" s="208">
        <v>1270</v>
      </c>
      <c r="J14" s="206" t="s">
        <v>354</v>
      </c>
      <c r="K14" s="208"/>
      <c r="L14" s="208"/>
      <c r="M14" s="209">
        <v>1000</v>
      </c>
      <c r="N14" s="210" t="s">
        <v>791</v>
      </c>
      <c r="O14" s="208" t="s">
        <v>51</v>
      </c>
      <c r="P14" s="208"/>
      <c r="Q14" s="206" t="s">
        <v>52</v>
      </c>
      <c r="R14" s="206"/>
      <c r="S14" s="211"/>
      <c r="T14" s="206"/>
      <c r="U14" s="206"/>
      <c r="V14" s="212"/>
      <c r="W14" s="208">
        <f>Z14*I14*M14/2000</f>
        <v>6.984999999999999</v>
      </c>
      <c r="X14" s="213"/>
      <c r="Y14" s="207">
        <v>3</v>
      </c>
      <c r="Z14" s="209">
        <v>0.011</v>
      </c>
      <c r="AA14" s="210" t="s">
        <v>808</v>
      </c>
      <c r="AB14" s="230" t="s">
        <v>355</v>
      </c>
    </row>
    <row r="15" spans="1:28" ht="12.75">
      <c r="A15" s="229" t="s">
        <v>48</v>
      </c>
      <c r="B15" s="207">
        <v>4213</v>
      </c>
      <c r="C15" s="206" t="s">
        <v>306</v>
      </c>
      <c r="D15" s="207">
        <v>30301581</v>
      </c>
      <c r="E15" s="206" t="s">
        <v>305</v>
      </c>
      <c r="F15" s="208" t="s">
        <v>75</v>
      </c>
      <c r="G15" s="207">
        <v>14</v>
      </c>
      <c r="H15" s="206" t="s">
        <v>307</v>
      </c>
      <c r="I15" s="208">
        <v>20215</v>
      </c>
      <c r="J15" s="206" t="s">
        <v>354</v>
      </c>
      <c r="K15" s="208"/>
      <c r="L15" s="208"/>
      <c r="M15" s="209">
        <v>75</v>
      </c>
      <c r="N15" s="210" t="s">
        <v>791</v>
      </c>
      <c r="O15" s="208" t="s">
        <v>51</v>
      </c>
      <c r="P15" s="208"/>
      <c r="Q15" s="206" t="s">
        <v>52</v>
      </c>
      <c r="R15" s="206"/>
      <c r="S15" s="211"/>
      <c r="T15" s="206"/>
      <c r="U15" s="206"/>
      <c r="V15" s="212"/>
      <c r="W15" s="208">
        <f>Z15*I15*M15/2000</f>
        <v>8.3386875</v>
      </c>
      <c r="X15" s="213"/>
      <c r="Y15" s="207">
        <v>3</v>
      </c>
      <c r="Z15" s="209">
        <v>0.011</v>
      </c>
      <c r="AA15" s="210" t="s">
        <v>808</v>
      </c>
      <c r="AB15" s="230" t="s">
        <v>355</v>
      </c>
    </row>
    <row r="16" spans="1:28" ht="12.75">
      <c r="A16" s="229" t="s">
        <v>48</v>
      </c>
      <c r="B16" s="207">
        <v>4214</v>
      </c>
      <c r="C16" s="206" t="s">
        <v>308</v>
      </c>
      <c r="D16" s="207">
        <v>30301580</v>
      </c>
      <c r="E16" s="206" t="s">
        <v>309</v>
      </c>
      <c r="F16" s="208" t="s">
        <v>75</v>
      </c>
      <c r="G16" s="207">
        <v>0</v>
      </c>
      <c r="H16" s="206" t="s">
        <v>177</v>
      </c>
      <c r="I16" s="208">
        <v>98</v>
      </c>
      <c r="J16" s="206" t="s">
        <v>354</v>
      </c>
      <c r="K16" s="208"/>
      <c r="L16" s="208"/>
      <c r="M16" s="209">
        <v>1000</v>
      </c>
      <c r="N16" s="210" t="s">
        <v>791</v>
      </c>
      <c r="O16" s="208" t="s">
        <v>51</v>
      </c>
      <c r="P16" s="208"/>
      <c r="Q16" s="206" t="s">
        <v>52</v>
      </c>
      <c r="R16" s="206"/>
      <c r="S16" s="211"/>
      <c r="T16" s="206"/>
      <c r="U16" s="206"/>
      <c r="V16" s="212"/>
      <c r="W16" s="208">
        <f>Z16*I16/2000</f>
        <v>0.0294</v>
      </c>
      <c r="X16" s="213"/>
      <c r="Y16" s="207">
        <v>3</v>
      </c>
      <c r="Z16" s="209">
        <v>0.6</v>
      </c>
      <c r="AA16" s="210" t="s">
        <v>86</v>
      </c>
      <c r="AB16" s="230" t="s">
        <v>351</v>
      </c>
    </row>
    <row r="17" spans="1:28" ht="12.75">
      <c r="A17" s="229" t="s">
        <v>48</v>
      </c>
      <c r="B17" s="207">
        <v>4216</v>
      </c>
      <c r="C17" s="206" t="s">
        <v>310</v>
      </c>
      <c r="D17" s="207">
        <v>10200602</v>
      </c>
      <c r="E17" s="206" t="s">
        <v>311</v>
      </c>
      <c r="F17" s="208" t="s">
        <v>76</v>
      </c>
      <c r="G17" s="207">
        <v>1590</v>
      </c>
      <c r="H17" s="206" t="s">
        <v>177</v>
      </c>
      <c r="I17" s="208">
        <v>475.89</v>
      </c>
      <c r="J17" s="206" t="s">
        <v>354</v>
      </c>
      <c r="K17" s="208"/>
      <c r="L17" s="208"/>
      <c r="M17" s="209">
        <v>1000</v>
      </c>
      <c r="N17" s="210" t="s">
        <v>791</v>
      </c>
      <c r="O17" s="208" t="s">
        <v>51</v>
      </c>
      <c r="P17" s="208"/>
      <c r="Q17" s="206" t="s">
        <v>52</v>
      </c>
      <c r="R17" s="206"/>
      <c r="S17" s="211"/>
      <c r="T17" s="206"/>
      <c r="U17" s="206"/>
      <c r="V17" s="212"/>
      <c r="W17" s="208">
        <f>Z17*I17*M17/2000</f>
        <v>0.14276699999999998</v>
      </c>
      <c r="X17" s="213"/>
      <c r="Y17" s="207">
        <v>3</v>
      </c>
      <c r="Z17" s="209">
        <v>0.0006</v>
      </c>
      <c r="AA17" s="211" t="s">
        <v>808</v>
      </c>
      <c r="AB17" s="230" t="s">
        <v>356</v>
      </c>
    </row>
    <row r="18" spans="1:28" ht="12.75">
      <c r="A18" s="229" t="s">
        <v>48</v>
      </c>
      <c r="B18" s="207">
        <v>4217</v>
      </c>
      <c r="C18" s="206" t="s">
        <v>312</v>
      </c>
      <c r="D18" s="207">
        <v>10200602</v>
      </c>
      <c r="E18" s="206" t="s">
        <v>313</v>
      </c>
      <c r="F18" s="208" t="s">
        <v>76</v>
      </c>
      <c r="G18" s="207">
        <v>1591</v>
      </c>
      <c r="H18" s="206" t="s">
        <v>177</v>
      </c>
      <c r="I18" s="208">
        <v>429.802</v>
      </c>
      <c r="J18" s="206" t="s">
        <v>354</v>
      </c>
      <c r="K18" s="208"/>
      <c r="L18" s="208"/>
      <c r="M18" s="209">
        <v>1000</v>
      </c>
      <c r="N18" s="210" t="s">
        <v>791</v>
      </c>
      <c r="O18" s="208" t="s">
        <v>51</v>
      </c>
      <c r="P18" s="208"/>
      <c r="Q18" s="206" t="s">
        <v>52</v>
      </c>
      <c r="R18" s="206"/>
      <c r="S18" s="211"/>
      <c r="T18" s="206"/>
      <c r="U18" s="206"/>
      <c r="V18" s="212"/>
      <c r="W18" s="208">
        <f>Z18*I18*M18/2000</f>
        <v>0.1289406</v>
      </c>
      <c r="X18" s="213"/>
      <c r="Y18" s="207">
        <v>3</v>
      </c>
      <c r="Z18" s="209">
        <v>0.0006</v>
      </c>
      <c r="AA18" s="211" t="s">
        <v>808</v>
      </c>
      <c r="AB18" s="230" t="s">
        <v>356</v>
      </c>
    </row>
    <row r="19" spans="1:28" ht="12.75">
      <c r="A19" s="229" t="s">
        <v>48</v>
      </c>
      <c r="B19" s="207">
        <v>4218</v>
      </c>
      <c r="C19" s="206" t="s">
        <v>314</v>
      </c>
      <c r="D19" s="207">
        <v>10200602</v>
      </c>
      <c r="E19" s="206" t="s">
        <v>315</v>
      </c>
      <c r="F19" s="208" t="s">
        <v>75</v>
      </c>
      <c r="G19" s="207">
        <v>1611</v>
      </c>
      <c r="H19" s="206" t="s">
        <v>177</v>
      </c>
      <c r="I19" s="208">
        <v>1385</v>
      </c>
      <c r="J19" s="206" t="s">
        <v>354</v>
      </c>
      <c r="K19" s="215"/>
      <c r="L19" s="208"/>
      <c r="M19" s="209">
        <v>1000</v>
      </c>
      <c r="N19" s="210" t="s">
        <v>791</v>
      </c>
      <c r="O19" s="208" t="s">
        <v>51</v>
      </c>
      <c r="P19" s="208"/>
      <c r="Q19" s="206" t="s">
        <v>52</v>
      </c>
      <c r="R19" s="206"/>
      <c r="S19" s="211"/>
      <c r="T19" s="206"/>
      <c r="U19" s="206"/>
      <c r="V19" s="212"/>
      <c r="W19" s="208">
        <f>Z19*I19*M18/2000</f>
        <v>0.4155</v>
      </c>
      <c r="X19" s="213"/>
      <c r="Y19" s="207">
        <v>3</v>
      </c>
      <c r="Z19" s="209">
        <v>0.0006</v>
      </c>
      <c r="AA19" s="211" t="s">
        <v>808</v>
      </c>
      <c r="AB19" s="230" t="s">
        <v>357</v>
      </c>
    </row>
    <row r="20" spans="1:28" ht="12.75">
      <c r="A20" s="229" t="s">
        <v>48</v>
      </c>
      <c r="B20" s="207">
        <v>4219</v>
      </c>
      <c r="C20" s="206" t="s">
        <v>316</v>
      </c>
      <c r="D20" s="207">
        <v>10200707</v>
      </c>
      <c r="E20" s="206" t="s">
        <v>315</v>
      </c>
      <c r="F20" s="208" t="s">
        <v>75</v>
      </c>
      <c r="G20" s="207">
        <v>1611</v>
      </c>
      <c r="H20" s="206" t="s">
        <v>301</v>
      </c>
      <c r="I20" s="208">
        <v>2327</v>
      </c>
      <c r="J20" s="206" t="s">
        <v>354</v>
      </c>
      <c r="K20" s="208"/>
      <c r="L20" s="208"/>
      <c r="M20" s="209">
        <v>500</v>
      </c>
      <c r="N20" s="210" t="s">
        <v>791</v>
      </c>
      <c r="O20" s="208">
        <v>0.52</v>
      </c>
      <c r="P20" s="208"/>
      <c r="Q20" s="206" t="s">
        <v>52</v>
      </c>
      <c r="R20" s="206"/>
      <c r="S20" s="211"/>
      <c r="T20" s="206"/>
      <c r="U20" s="206"/>
      <c r="V20" s="212"/>
      <c r="W20" s="208">
        <v>0</v>
      </c>
      <c r="X20" s="213"/>
      <c r="Y20" s="207" t="s">
        <v>51</v>
      </c>
      <c r="Z20" s="209"/>
      <c r="AA20" s="211"/>
      <c r="AB20" s="230" t="s">
        <v>358</v>
      </c>
    </row>
    <row r="21" spans="1:28" ht="12.75">
      <c r="A21" s="229" t="s">
        <v>48</v>
      </c>
      <c r="B21" s="207">
        <v>4220</v>
      </c>
      <c r="C21" s="206" t="s">
        <v>317</v>
      </c>
      <c r="D21" s="207">
        <v>10200704</v>
      </c>
      <c r="E21" s="206" t="s">
        <v>315</v>
      </c>
      <c r="F21" s="208" t="s">
        <v>75</v>
      </c>
      <c r="G21" s="207">
        <v>1611</v>
      </c>
      <c r="H21" s="206" t="s">
        <v>307</v>
      </c>
      <c r="I21" s="208">
        <v>74941</v>
      </c>
      <c r="J21" s="206" t="s">
        <v>354</v>
      </c>
      <c r="K21" s="208"/>
      <c r="L21" s="208"/>
      <c r="M21" s="209">
        <v>75</v>
      </c>
      <c r="N21" s="210" t="s">
        <v>791</v>
      </c>
      <c r="O21" s="208" t="s">
        <v>51</v>
      </c>
      <c r="P21" s="208"/>
      <c r="Q21" s="206" t="s">
        <v>52</v>
      </c>
      <c r="R21" s="206"/>
      <c r="S21" s="211"/>
      <c r="T21" s="206"/>
      <c r="U21" s="206"/>
      <c r="V21" s="212"/>
      <c r="W21" s="208">
        <f>Z21*I21*M21/2000</f>
        <v>30.85695675</v>
      </c>
      <c r="X21" s="213"/>
      <c r="Y21" s="207">
        <v>3</v>
      </c>
      <c r="Z21" s="209">
        <v>0.01098</v>
      </c>
      <c r="AA21" s="211" t="s">
        <v>808</v>
      </c>
      <c r="AB21" s="230" t="s">
        <v>359</v>
      </c>
    </row>
    <row r="22" spans="1:28" ht="12.75">
      <c r="A22" s="229" t="s">
        <v>48</v>
      </c>
      <c r="B22" s="207">
        <v>4221</v>
      </c>
      <c r="C22" s="206" t="s">
        <v>318</v>
      </c>
      <c r="D22" s="207">
        <v>10200204</v>
      </c>
      <c r="E22" s="206" t="s">
        <v>315</v>
      </c>
      <c r="F22" s="208" t="s">
        <v>75</v>
      </c>
      <c r="G22" s="207">
        <v>1612</v>
      </c>
      <c r="H22" s="206" t="s">
        <v>100</v>
      </c>
      <c r="I22" s="208">
        <v>559</v>
      </c>
      <c r="J22" s="206" t="s">
        <v>804</v>
      </c>
      <c r="K22" s="208"/>
      <c r="L22" s="208"/>
      <c r="M22" s="209">
        <v>25.5</v>
      </c>
      <c r="N22" s="210" t="s">
        <v>809</v>
      </c>
      <c r="O22" s="208">
        <v>0.55</v>
      </c>
      <c r="P22" s="208"/>
      <c r="Q22" s="206" t="s">
        <v>52</v>
      </c>
      <c r="R22" s="206"/>
      <c r="S22" s="211"/>
      <c r="T22" s="206"/>
      <c r="U22" s="206"/>
      <c r="V22" s="212"/>
      <c r="W22" s="208">
        <f>Z22*I22/2000</f>
        <v>105.53361</v>
      </c>
      <c r="X22" s="213"/>
      <c r="Y22" s="207">
        <v>2</v>
      </c>
      <c r="Z22" s="209">
        <v>377.58</v>
      </c>
      <c r="AA22" s="211" t="s">
        <v>388</v>
      </c>
      <c r="AB22" s="230" t="s">
        <v>360</v>
      </c>
    </row>
    <row r="23" spans="1:28" ht="12.75">
      <c r="A23" s="229" t="s">
        <v>48</v>
      </c>
      <c r="B23" s="207">
        <v>4222</v>
      </c>
      <c r="C23" s="206" t="s">
        <v>319</v>
      </c>
      <c r="D23" s="207">
        <v>30301583</v>
      </c>
      <c r="E23" s="206" t="s">
        <v>320</v>
      </c>
      <c r="F23" s="208" t="s">
        <v>75</v>
      </c>
      <c r="G23" s="207">
        <v>1600</v>
      </c>
      <c r="H23" s="206" t="s">
        <v>177</v>
      </c>
      <c r="I23" s="208">
        <v>591.772</v>
      </c>
      <c r="J23" s="206" t="s">
        <v>354</v>
      </c>
      <c r="K23" s="208"/>
      <c r="L23" s="208"/>
      <c r="M23" s="209">
        <v>1000</v>
      </c>
      <c r="N23" s="210" t="s">
        <v>791</v>
      </c>
      <c r="O23" s="208" t="s">
        <v>51</v>
      </c>
      <c r="P23" s="208"/>
      <c r="Q23" s="206" t="s">
        <v>52</v>
      </c>
      <c r="R23" s="206"/>
      <c r="S23" s="211"/>
      <c r="T23" s="206"/>
      <c r="U23" s="206"/>
      <c r="V23" s="212"/>
      <c r="W23" s="208">
        <f>Z23*I23*M23/2000</f>
        <v>0.17753160000000004</v>
      </c>
      <c r="X23" s="213"/>
      <c r="Y23" s="207">
        <v>2</v>
      </c>
      <c r="Z23" s="209">
        <v>0.0006</v>
      </c>
      <c r="AA23" s="210" t="s">
        <v>808</v>
      </c>
      <c r="AB23" s="230" t="s">
        <v>362</v>
      </c>
    </row>
    <row r="24" spans="1:28" ht="12.75">
      <c r="A24" s="229" t="s">
        <v>48</v>
      </c>
      <c r="B24" s="207">
        <v>4223</v>
      </c>
      <c r="C24" s="206" t="s">
        <v>321</v>
      </c>
      <c r="D24" s="207">
        <v>30301583</v>
      </c>
      <c r="E24" s="206" t="s">
        <v>320</v>
      </c>
      <c r="F24" s="208" t="s">
        <v>75</v>
      </c>
      <c r="G24" s="207">
        <v>1600</v>
      </c>
      <c r="H24" s="206" t="s">
        <v>301</v>
      </c>
      <c r="I24" s="208">
        <v>954.533</v>
      </c>
      <c r="J24" s="206" t="s">
        <v>354</v>
      </c>
      <c r="K24" s="208"/>
      <c r="L24" s="208"/>
      <c r="M24" s="209">
        <v>500</v>
      </c>
      <c r="N24" s="210" t="s">
        <v>791</v>
      </c>
      <c r="O24" s="208">
        <v>0.52</v>
      </c>
      <c r="P24" s="208"/>
      <c r="Q24" s="206" t="s">
        <v>52</v>
      </c>
      <c r="R24" s="206"/>
      <c r="S24" s="211"/>
      <c r="T24" s="206"/>
      <c r="U24" s="206"/>
      <c r="V24" s="212"/>
      <c r="W24" s="208">
        <f>Z25*I24/2000</f>
        <v>0.0002863599</v>
      </c>
      <c r="X24" s="213"/>
      <c r="Y24" s="207" t="s">
        <v>51</v>
      </c>
      <c r="Z24" s="209" t="s">
        <v>51</v>
      </c>
      <c r="AA24" s="211"/>
      <c r="AB24" s="230" t="s">
        <v>358</v>
      </c>
    </row>
    <row r="25" spans="1:28" ht="12.75">
      <c r="A25" s="229" t="s">
        <v>48</v>
      </c>
      <c r="B25" s="207">
        <v>4224</v>
      </c>
      <c r="C25" s="206" t="s">
        <v>322</v>
      </c>
      <c r="D25" s="207">
        <v>30301584</v>
      </c>
      <c r="E25" s="206" t="s">
        <v>323</v>
      </c>
      <c r="F25" s="208" t="s">
        <v>75</v>
      </c>
      <c r="G25" s="207">
        <v>1608</v>
      </c>
      <c r="H25" s="206" t="s">
        <v>177</v>
      </c>
      <c r="I25" s="208">
        <v>1383.114</v>
      </c>
      <c r="J25" s="206" t="s">
        <v>354</v>
      </c>
      <c r="K25" s="208"/>
      <c r="L25" s="208"/>
      <c r="M25" s="209">
        <v>1000</v>
      </c>
      <c r="N25" s="210" t="s">
        <v>791</v>
      </c>
      <c r="O25" s="208" t="s">
        <v>51</v>
      </c>
      <c r="P25" s="208"/>
      <c r="Q25" s="206" t="s">
        <v>52</v>
      </c>
      <c r="R25" s="206"/>
      <c r="S25" s="211"/>
      <c r="T25" s="206"/>
      <c r="U25" s="206"/>
      <c r="V25" s="212"/>
      <c r="W25" s="208">
        <f>Z25*I25*M25/2000</f>
        <v>0.4149342</v>
      </c>
      <c r="X25" s="213"/>
      <c r="Y25" s="207">
        <v>2</v>
      </c>
      <c r="Z25" s="209">
        <v>0.0006</v>
      </c>
      <c r="AA25" s="211" t="s">
        <v>808</v>
      </c>
      <c r="AB25" s="230" t="s">
        <v>362</v>
      </c>
    </row>
    <row r="26" spans="1:28" ht="12.75">
      <c r="A26" s="229" t="s">
        <v>48</v>
      </c>
      <c r="B26" s="207">
        <v>4225</v>
      </c>
      <c r="C26" s="206" t="s">
        <v>324</v>
      </c>
      <c r="D26" s="207">
        <v>30301584</v>
      </c>
      <c r="E26" s="206" t="s">
        <v>325</v>
      </c>
      <c r="F26" s="208" t="s">
        <v>75</v>
      </c>
      <c r="G26" s="207">
        <v>1608</v>
      </c>
      <c r="H26" s="206" t="s">
        <v>301</v>
      </c>
      <c r="I26" s="208">
        <v>2399.411</v>
      </c>
      <c r="J26" s="206" t="s">
        <v>354</v>
      </c>
      <c r="K26" s="208"/>
      <c r="L26" s="208"/>
      <c r="M26" s="209">
        <v>500</v>
      </c>
      <c r="N26" s="210" t="s">
        <v>791</v>
      </c>
      <c r="O26" s="208">
        <v>0.52</v>
      </c>
      <c r="P26" s="208"/>
      <c r="Q26" s="206" t="s">
        <v>52</v>
      </c>
      <c r="R26" s="206"/>
      <c r="S26" s="211"/>
      <c r="T26" s="206"/>
      <c r="U26" s="206"/>
      <c r="V26" s="212"/>
      <c r="W26" s="208"/>
      <c r="X26" s="213"/>
      <c r="Y26" s="207" t="s">
        <v>51</v>
      </c>
      <c r="Z26" s="209" t="s">
        <v>51</v>
      </c>
      <c r="AA26" s="211"/>
      <c r="AB26" s="230" t="s">
        <v>358</v>
      </c>
    </row>
    <row r="27" spans="1:28" ht="12.75">
      <c r="A27" s="229" t="s">
        <v>48</v>
      </c>
      <c r="B27" s="207">
        <v>4226</v>
      </c>
      <c r="C27" s="206" t="s">
        <v>326</v>
      </c>
      <c r="D27" s="207">
        <v>30301584</v>
      </c>
      <c r="E27" s="206" t="s">
        <v>325</v>
      </c>
      <c r="F27" s="208" t="s">
        <v>75</v>
      </c>
      <c r="G27" s="207">
        <v>1608</v>
      </c>
      <c r="H27" s="206" t="s">
        <v>327</v>
      </c>
      <c r="I27" s="208">
        <v>698</v>
      </c>
      <c r="J27" s="206" t="s">
        <v>610</v>
      </c>
      <c r="K27" s="208"/>
      <c r="L27" s="208"/>
      <c r="M27" s="209">
        <v>150</v>
      </c>
      <c r="N27" s="210" t="s">
        <v>810</v>
      </c>
      <c r="O27" s="208">
        <v>0.5</v>
      </c>
      <c r="P27" s="208"/>
      <c r="Q27" s="206" t="s">
        <v>52</v>
      </c>
      <c r="R27" s="206"/>
      <c r="S27" s="211"/>
      <c r="T27" s="206"/>
      <c r="U27" s="206"/>
      <c r="V27" s="212"/>
      <c r="W27" s="208">
        <f>Z27*I27/2000</f>
        <v>21.36927</v>
      </c>
      <c r="X27" s="213"/>
      <c r="Y27" s="207">
        <v>3</v>
      </c>
      <c r="Z27" s="209">
        <v>61.23</v>
      </c>
      <c r="AA27" s="211" t="s">
        <v>806</v>
      </c>
      <c r="AB27" s="230" t="s">
        <v>363</v>
      </c>
    </row>
    <row r="28" spans="1:28" ht="12.75">
      <c r="A28" s="229" t="s">
        <v>65</v>
      </c>
      <c r="B28" s="207">
        <v>5001</v>
      </c>
      <c r="C28" s="206" t="s">
        <v>328</v>
      </c>
      <c r="D28" s="207">
        <v>30300302</v>
      </c>
      <c r="E28" s="206" t="s">
        <v>329</v>
      </c>
      <c r="F28" s="208" t="s">
        <v>75</v>
      </c>
      <c r="G28" s="207">
        <v>0</v>
      </c>
      <c r="H28" s="206" t="s">
        <v>117</v>
      </c>
      <c r="I28" s="208">
        <v>960384</v>
      </c>
      <c r="J28" s="206" t="s">
        <v>680</v>
      </c>
      <c r="K28" s="208"/>
      <c r="L28" s="208"/>
      <c r="M28" s="209">
        <v>0</v>
      </c>
      <c r="N28" s="210" t="s">
        <v>95</v>
      </c>
      <c r="O28" s="208">
        <v>0</v>
      </c>
      <c r="P28" s="208"/>
      <c r="Q28" s="206" t="s">
        <v>52</v>
      </c>
      <c r="R28" s="206"/>
      <c r="S28" s="211"/>
      <c r="T28" s="206"/>
      <c r="U28" s="206"/>
      <c r="V28" s="212"/>
      <c r="W28" s="208">
        <f>Z28*I28/2000</f>
        <v>0.33613439999999994</v>
      </c>
      <c r="X28" s="213"/>
      <c r="Y28" s="207">
        <v>3</v>
      </c>
      <c r="Z28" s="209">
        <v>0.0007</v>
      </c>
      <c r="AA28" s="210" t="s">
        <v>630</v>
      </c>
      <c r="AB28" s="230" t="s">
        <v>364</v>
      </c>
    </row>
    <row r="29" spans="1:28" ht="12.75">
      <c r="A29" s="229" t="s">
        <v>65</v>
      </c>
      <c r="B29" s="207">
        <v>5002</v>
      </c>
      <c r="C29" s="206" t="s">
        <v>330</v>
      </c>
      <c r="D29" s="207">
        <v>30300308</v>
      </c>
      <c r="E29" s="206" t="s">
        <v>331</v>
      </c>
      <c r="F29" s="208" t="s">
        <v>75</v>
      </c>
      <c r="G29" s="207">
        <v>0</v>
      </c>
      <c r="H29" s="206" t="s">
        <v>117</v>
      </c>
      <c r="I29" s="208">
        <v>960384</v>
      </c>
      <c r="J29" s="206" t="s">
        <v>680</v>
      </c>
      <c r="K29" s="208"/>
      <c r="L29" s="208"/>
      <c r="M29" s="209">
        <v>0</v>
      </c>
      <c r="N29" s="210" t="s">
        <v>95</v>
      </c>
      <c r="O29" s="208">
        <v>0</v>
      </c>
      <c r="P29" s="208"/>
      <c r="Q29" s="206" t="s">
        <v>52</v>
      </c>
      <c r="R29" s="206"/>
      <c r="S29" s="211"/>
      <c r="T29" s="206"/>
      <c r="U29" s="206"/>
      <c r="V29" s="212"/>
      <c r="W29" s="208"/>
      <c r="X29" s="213" t="s">
        <v>51</v>
      </c>
      <c r="Y29" s="207" t="s">
        <v>51</v>
      </c>
      <c r="Z29" s="209" t="s">
        <v>51</v>
      </c>
      <c r="AA29" s="210"/>
      <c r="AB29" s="230" t="s">
        <v>365</v>
      </c>
    </row>
    <row r="30" spans="1:28" ht="12.75">
      <c r="A30" s="229" t="s">
        <v>48</v>
      </c>
      <c r="B30" s="207">
        <v>8201</v>
      </c>
      <c r="C30" s="206" t="s">
        <v>332</v>
      </c>
      <c r="D30" s="207">
        <v>30301580</v>
      </c>
      <c r="E30" s="206" t="s">
        <v>333</v>
      </c>
      <c r="F30" s="208" t="s">
        <v>75</v>
      </c>
      <c r="G30" s="207">
        <v>0</v>
      </c>
      <c r="H30" s="206" t="s">
        <v>177</v>
      </c>
      <c r="I30" s="208">
        <v>216.388</v>
      </c>
      <c r="J30" s="206" t="s">
        <v>354</v>
      </c>
      <c r="K30" s="208"/>
      <c r="L30" s="208"/>
      <c r="M30" s="209">
        <v>1000</v>
      </c>
      <c r="N30" s="210" t="s">
        <v>791</v>
      </c>
      <c r="O30" s="208">
        <v>0</v>
      </c>
      <c r="P30" s="208"/>
      <c r="Q30" s="206" t="s">
        <v>52</v>
      </c>
      <c r="R30" s="206"/>
      <c r="S30" s="211"/>
      <c r="T30" s="206"/>
      <c r="U30" s="206"/>
      <c r="V30" s="212"/>
      <c r="W30" s="208">
        <f>Z31*I30/2000</f>
        <v>0.0649164</v>
      </c>
      <c r="X30" s="213"/>
      <c r="Y30" s="207">
        <v>3</v>
      </c>
      <c r="Z30" s="209">
        <v>0.6</v>
      </c>
      <c r="AA30" s="210" t="s">
        <v>180</v>
      </c>
      <c r="AB30" s="230" t="s">
        <v>366</v>
      </c>
    </row>
    <row r="31" spans="1:28" ht="12.75">
      <c r="A31" s="229" t="s">
        <v>48</v>
      </c>
      <c r="B31" s="207">
        <v>8202</v>
      </c>
      <c r="C31" s="206" t="s">
        <v>334</v>
      </c>
      <c r="D31" s="207">
        <v>30301580</v>
      </c>
      <c r="E31" s="206" t="s">
        <v>335</v>
      </c>
      <c r="F31" s="208" t="s">
        <v>75</v>
      </c>
      <c r="G31" s="207">
        <v>0</v>
      </c>
      <c r="H31" s="206" t="s">
        <v>177</v>
      </c>
      <c r="I31" s="208">
        <v>33.356</v>
      </c>
      <c r="J31" s="206" t="s">
        <v>354</v>
      </c>
      <c r="K31" s="208"/>
      <c r="L31" s="208"/>
      <c r="M31" s="209">
        <v>1000</v>
      </c>
      <c r="N31" s="210" t="s">
        <v>791</v>
      </c>
      <c r="O31" s="208">
        <v>0</v>
      </c>
      <c r="P31" s="208"/>
      <c r="Q31" s="206" t="s">
        <v>52</v>
      </c>
      <c r="R31" s="206"/>
      <c r="S31" s="211"/>
      <c r="T31" s="206"/>
      <c r="U31" s="206"/>
      <c r="V31" s="212"/>
      <c r="W31" s="208">
        <f>Z31*I31/2000</f>
        <v>0.0100068</v>
      </c>
      <c r="X31" s="213"/>
      <c r="Y31" s="207">
        <v>3</v>
      </c>
      <c r="Z31" s="209">
        <v>0.6</v>
      </c>
      <c r="AA31" s="211" t="s">
        <v>180</v>
      </c>
      <c r="AB31" s="230" t="s">
        <v>366</v>
      </c>
    </row>
    <row r="32" spans="1:28" ht="12.75">
      <c r="A32" s="229" t="s">
        <v>48</v>
      </c>
      <c r="B32" s="207">
        <v>13776</v>
      </c>
      <c r="C32" s="206" t="s">
        <v>336</v>
      </c>
      <c r="D32" s="207">
        <v>10200402</v>
      </c>
      <c r="E32" s="206" t="s">
        <v>337</v>
      </c>
      <c r="F32" s="208" t="s">
        <v>76</v>
      </c>
      <c r="G32" s="207">
        <v>1590</v>
      </c>
      <c r="H32" s="206" t="s">
        <v>338</v>
      </c>
      <c r="I32" s="208">
        <v>89.636</v>
      </c>
      <c r="J32" s="206">
        <v>0</v>
      </c>
      <c r="K32" s="208"/>
      <c r="L32" s="208"/>
      <c r="M32" s="209">
        <v>150000</v>
      </c>
      <c r="N32" s="210" t="s">
        <v>84</v>
      </c>
      <c r="O32" s="208">
        <v>0.5</v>
      </c>
      <c r="P32" s="208"/>
      <c r="Q32" s="206" t="s">
        <v>52</v>
      </c>
      <c r="R32" s="206"/>
      <c r="S32" s="211"/>
      <c r="T32" s="206"/>
      <c r="U32" s="206"/>
      <c r="V32" s="212"/>
      <c r="W32" s="208">
        <f>Z33*I32/2000</f>
        <v>2.7442061399999997</v>
      </c>
      <c r="X32" s="213"/>
      <c r="Y32" s="207">
        <v>3</v>
      </c>
      <c r="Z32" s="209">
        <v>61.23</v>
      </c>
      <c r="AA32" s="211" t="s">
        <v>806</v>
      </c>
      <c r="AB32" s="230" t="s">
        <v>363</v>
      </c>
    </row>
    <row r="33" spans="1:28" ht="12.75">
      <c r="A33" s="229" t="s">
        <v>48</v>
      </c>
      <c r="B33" s="207">
        <v>13777</v>
      </c>
      <c r="C33" s="206" t="s">
        <v>339</v>
      </c>
      <c r="D33" s="207">
        <v>10200402</v>
      </c>
      <c r="E33" s="206" t="s">
        <v>340</v>
      </c>
      <c r="F33" s="208" t="s">
        <v>76</v>
      </c>
      <c r="G33" s="207">
        <v>1591</v>
      </c>
      <c r="H33" s="206" t="s">
        <v>327</v>
      </c>
      <c r="I33" s="208">
        <v>864.497</v>
      </c>
      <c r="J33" s="206">
        <v>0</v>
      </c>
      <c r="K33" s="208"/>
      <c r="L33" s="208"/>
      <c r="M33" s="209">
        <v>150000</v>
      </c>
      <c r="N33" s="210" t="s">
        <v>84</v>
      </c>
      <c r="O33" s="208">
        <v>0.5</v>
      </c>
      <c r="P33" s="208"/>
      <c r="Q33" s="206" t="s">
        <v>52</v>
      </c>
      <c r="R33" s="206"/>
      <c r="S33" s="211"/>
      <c r="T33" s="206"/>
      <c r="U33" s="206"/>
      <c r="V33" s="212"/>
      <c r="W33" s="208">
        <f>Z33*I33/2000</f>
        <v>26.466575654999996</v>
      </c>
      <c r="X33" s="213"/>
      <c r="Y33" s="207">
        <v>3</v>
      </c>
      <c r="Z33" s="209">
        <v>61.23</v>
      </c>
      <c r="AA33" s="211" t="s">
        <v>806</v>
      </c>
      <c r="AB33" s="230" t="s">
        <v>363</v>
      </c>
    </row>
    <row r="34" spans="1:28" ht="12.75">
      <c r="A34" s="229" t="s">
        <v>48</v>
      </c>
      <c r="B34" s="207">
        <v>15162</v>
      </c>
      <c r="C34" s="206" t="s">
        <v>341</v>
      </c>
      <c r="D34" s="207">
        <v>30400301</v>
      </c>
      <c r="E34" s="206" t="s">
        <v>342</v>
      </c>
      <c r="F34" s="208" t="s">
        <v>75</v>
      </c>
      <c r="G34" s="207">
        <v>3929</v>
      </c>
      <c r="H34" s="206" t="s">
        <v>368</v>
      </c>
      <c r="I34" s="208">
        <v>73147</v>
      </c>
      <c r="J34" s="206" t="s">
        <v>805</v>
      </c>
      <c r="K34" s="208"/>
      <c r="L34" s="208"/>
      <c r="M34" s="209">
        <v>0</v>
      </c>
      <c r="N34" s="210" t="s">
        <v>95</v>
      </c>
      <c r="O34" s="208">
        <v>0</v>
      </c>
      <c r="P34" s="208"/>
      <c r="Q34" s="206" t="s">
        <v>52</v>
      </c>
      <c r="R34" s="206"/>
      <c r="S34" s="211"/>
      <c r="T34" s="206"/>
      <c r="U34" s="206"/>
      <c r="V34" s="212"/>
      <c r="W34" s="208">
        <f>Z34*I34/2000</f>
        <v>3.6573500000000005</v>
      </c>
      <c r="X34" s="213"/>
      <c r="Y34" s="207" t="s">
        <v>51</v>
      </c>
      <c r="Z34" s="209">
        <v>0.1</v>
      </c>
      <c r="AA34" s="211" t="s">
        <v>811</v>
      </c>
      <c r="AB34" s="230" t="s">
        <v>367</v>
      </c>
    </row>
    <row r="35" spans="1:28" ht="12.75">
      <c r="A35" s="229" t="s">
        <v>173</v>
      </c>
      <c r="B35" s="207">
        <v>15187</v>
      </c>
      <c r="C35" s="206" t="s">
        <v>343</v>
      </c>
      <c r="D35" s="207">
        <v>20200102</v>
      </c>
      <c r="E35" s="206" t="s">
        <v>344</v>
      </c>
      <c r="F35" s="208" t="s">
        <v>75</v>
      </c>
      <c r="G35" s="207">
        <v>3935</v>
      </c>
      <c r="H35" s="206" t="s">
        <v>207</v>
      </c>
      <c r="I35" s="208">
        <v>44</v>
      </c>
      <c r="J35" s="206" t="s">
        <v>804</v>
      </c>
      <c r="K35" s="208"/>
      <c r="L35" s="208"/>
      <c r="M35" s="209">
        <v>134000</v>
      </c>
      <c r="N35" s="210" t="s">
        <v>84</v>
      </c>
      <c r="O35" s="208">
        <v>0</v>
      </c>
      <c r="P35" s="208"/>
      <c r="Q35" s="206" t="s">
        <v>52</v>
      </c>
      <c r="R35" s="206"/>
      <c r="S35" s="211"/>
      <c r="T35" s="206"/>
      <c r="U35" s="206"/>
      <c r="V35" s="212"/>
      <c r="W35" s="208">
        <f>Z36*I35/2000</f>
        <v>0.0286</v>
      </c>
      <c r="X35" s="213" t="s">
        <v>51</v>
      </c>
      <c r="Y35" s="207">
        <v>2</v>
      </c>
      <c r="Z35" s="209">
        <v>1.3</v>
      </c>
      <c r="AA35" s="211" t="s">
        <v>771</v>
      </c>
      <c r="AB35" s="230" t="s">
        <v>370</v>
      </c>
    </row>
    <row r="36" spans="1:28" ht="13.5" thickBot="1">
      <c r="A36" s="231" t="s">
        <v>173</v>
      </c>
      <c r="B36" s="232">
        <v>15188</v>
      </c>
      <c r="C36" s="233" t="s">
        <v>345</v>
      </c>
      <c r="D36" s="232">
        <v>20200102</v>
      </c>
      <c r="E36" s="233" t="s">
        <v>346</v>
      </c>
      <c r="F36" s="234" t="s">
        <v>75</v>
      </c>
      <c r="G36" s="232">
        <v>3936</v>
      </c>
      <c r="H36" s="233" t="s">
        <v>207</v>
      </c>
      <c r="I36" s="234">
        <v>23</v>
      </c>
      <c r="J36" s="233" t="s">
        <v>804</v>
      </c>
      <c r="K36" s="234"/>
      <c r="L36" s="234"/>
      <c r="M36" s="235">
        <v>134000</v>
      </c>
      <c r="N36" s="236" t="s">
        <v>84</v>
      </c>
      <c r="O36" s="234">
        <v>0</v>
      </c>
      <c r="P36" s="234"/>
      <c r="Q36" s="233" t="s">
        <v>52</v>
      </c>
      <c r="R36" s="233"/>
      <c r="S36" s="237"/>
      <c r="T36" s="233"/>
      <c r="U36" s="233"/>
      <c r="V36" s="238"/>
      <c r="W36" s="234">
        <f>Z37*I36/2000</f>
        <v>0</v>
      </c>
      <c r="X36" s="239" t="s">
        <v>51</v>
      </c>
      <c r="Y36" s="232">
        <v>3</v>
      </c>
      <c r="Z36" s="234">
        <v>1.3</v>
      </c>
      <c r="AA36" s="236" t="s">
        <v>771</v>
      </c>
      <c r="AB36" s="240" t="s">
        <v>370</v>
      </c>
    </row>
    <row r="37" spans="13:28" ht="13.5" thickBot="1">
      <c r="M37"/>
      <c r="N37" s="40"/>
      <c r="V37" s="449" t="s">
        <v>79</v>
      </c>
      <c r="W37" s="446">
        <f>SUM(W10:W36)</f>
        <v>2019.4166243849</v>
      </c>
      <c r="X37" s="36"/>
      <c r="Y37" s="40"/>
      <c r="Z37" s="204"/>
      <c r="AA37" s="205"/>
      <c r="AB37"/>
    </row>
    <row r="38" ht="13.5" thickTop="1"/>
    <row r="39" ht="12.75">
      <c r="C39" t="s">
        <v>353</v>
      </c>
    </row>
    <row r="40" ht="12.75">
      <c r="C40" t="s">
        <v>369</v>
      </c>
    </row>
    <row r="41" ht="12.75">
      <c r="C41" t="s">
        <v>452</v>
      </c>
    </row>
  </sheetData>
  <mergeCells count="24">
    <mergeCell ref="I7:L8"/>
    <mergeCell ref="M7:P8"/>
    <mergeCell ref="Q7:Q9"/>
    <mergeCell ref="R7:S7"/>
    <mergeCell ref="R8:R9"/>
    <mergeCell ref="S8:S9"/>
    <mergeCell ref="E7:E9"/>
    <mergeCell ref="F7:F9"/>
    <mergeCell ref="G7:G9"/>
    <mergeCell ref="H7:H9"/>
    <mergeCell ref="A7:A9"/>
    <mergeCell ref="B7:B9"/>
    <mergeCell ref="C7:C9"/>
    <mergeCell ref="D7:D9"/>
    <mergeCell ref="T8:T9"/>
    <mergeCell ref="AB7:AB9"/>
    <mergeCell ref="X7:X9"/>
    <mergeCell ref="Y7:Y9"/>
    <mergeCell ref="Z7:Z9"/>
    <mergeCell ref="AA7:AA9"/>
    <mergeCell ref="T7:U7"/>
    <mergeCell ref="V7:V9"/>
    <mergeCell ref="W7:W9"/>
    <mergeCell ref="U8:U9"/>
  </mergeCells>
  <printOptions/>
  <pageMargins left="0.75" right="0.75" top="1.35" bottom="0.58" header="0.32" footer="0.21"/>
  <pageSetup horizontalDpi="600" verticalDpi="600" orientation="landscape" r:id="rId1"/>
  <headerFooter alignWithMargins="0">
    <oddHeader>&amp;L
Geneva Steel
Site Name:  Steel Manufacturing Facility
Site ID:  10796&amp;C&amp;"Arial,Bold"Regional Haze
&amp;"Arial,Regular"1996 Statewide SOx Sources</oddHeader>
    <oddFooter>&amp;R&amp;D
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N6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8.421875" style="0" customWidth="1"/>
    <col min="4" max="4" width="9.00390625" style="0" customWidth="1"/>
    <col min="5" max="5" width="21.00390625" style="0" customWidth="1"/>
    <col min="6" max="6" width="8.140625" style="0" customWidth="1"/>
    <col min="7" max="7" width="10.7109375" style="0" customWidth="1"/>
    <col min="8" max="8" width="24.00390625" style="0" customWidth="1"/>
    <col min="9" max="9" width="9.57421875" style="0" customWidth="1"/>
    <col min="10" max="10" width="15.421875" style="0" customWidth="1"/>
    <col min="11" max="11" width="7.28125" style="0" customWidth="1"/>
    <col min="12" max="13" width="7.8515625" style="0" customWidth="1"/>
    <col min="14" max="14" width="5.8515625" style="0" customWidth="1"/>
    <col min="15" max="15" width="6.57421875" style="0" customWidth="1"/>
    <col min="16" max="16" width="4.57421875" style="0" customWidth="1"/>
    <col min="18" max="18" width="41.57421875" style="0" customWidth="1"/>
    <col min="20" max="20" width="11.28125" style="0" customWidth="1"/>
    <col min="22" max="22" width="9.57421875" style="0" customWidth="1"/>
    <col min="23" max="23" width="10.421875" style="23" customWidth="1"/>
    <col min="24" max="24" width="11.421875" style="0" customWidth="1"/>
    <col min="25" max="26" width="8.7109375" style="0" customWidth="1"/>
    <col min="27" max="27" width="13.00390625" style="0" customWidth="1"/>
    <col min="28" max="28" width="24.8515625" style="0" customWidth="1"/>
    <col min="29" max="29" width="29.140625" style="0" customWidth="1"/>
  </cols>
  <sheetData>
    <row r="1" spans="1:35" ht="15.75">
      <c r="A1" s="74"/>
      <c r="B1" s="256"/>
      <c r="C1" s="74"/>
      <c r="D1" s="74"/>
      <c r="E1" s="257" t="s">
        <v>44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123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35" ht="15">
      <c r="A2" s="256"/>
      <c r="B2" s="256"/>
      <c r="C2" s="74"/>
      <c r="D2" s="74"/>
      <c r="E2" s="258" t="s">
        <v>199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123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35" ht="15">
      <c r="A3" s="259" t="s">
        <v>371</v>
      </c>
      <c r="B3" s="256"/>
      <c r="C3" s="74"/>
      <c r="D3" s="74"/>
      <c r="E3" s="25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123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2.75">
      <c r="A4" s="256" t="s">
        <v>13</v>
      </c>
      <c r="B4" s="256" t="s">
        <v>14</v>
      </c>
      <c r="C4" s="259" t="s">
        <v>372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23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2.75">
      <c r="A5" s="76">
        <v>10007</v>
      </c>
      <c r="B5" s="256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123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35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123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66" ht="16.5" customHeight="1">
      <c r="A7" s="549" t="s">
        <v>43</v>
      </c>
      <c r="B7" s="503" t="s">
        <v>29</v>
      </c>
      <c r="C7" s="503" t="s">
        <v>28</v>
      </c>
      <c r="D7" s="503" t="s">
        <v>27</v>
      </c>
      <c r="E7" s="503" t="s">
        <v>26</v>
      </c>
      <c r="F7" s="503" t="s">
        <v>23</v>
      </c>
      <c r="G7" s="503" t="s">
        <v>24</v>
      </c>
      <c r="H7" s="503" t="s">
        <v>25</v>
      </c>
      <c r="I7" s="545" t="s">
        <v>451</v>
      </c>
      <c r="J7" s="545"/>
      <c r="K7" s="545"/>
      <c r="L7" s="545"/>
      <c r="M7" s="545" t="s">
        <v>15</v>
      </c>
      <c r="N7" s="545"/>
      <c r="O7" s="545"/>
      <c r="P7" s="545"/>
      <c r="Q7" s="503" t="s">
        <v>32</v>
      </c>
      <c r="R7" s="545" t="s">
        <v>30</v>
      </c>
      <c r="S7" s="545"/>
      <c r="T7" s="545" t="s">
        <v>31</v>
      </c>
      <c r="U7" s="545"/>
      <c r="V7" s="503" t="s">
        <v>40</v>
      </c>
      <c r="W7" s="582" t="s">
        <v>286</v>
      </c>
      <c r="X7" s="503" t="s">
        <v>34</v>
      </c>
      <c r="Y7" s="503" t="s">
        <v>36</v>
      </c>
      <c r="Z7" s="503" t="s">
        <v>37</v>
      </c>
      <c r="AA7" s="503" t="s">
        <v>38</v>
      </c>
      <c r="AB7" s="573" t="s">
        <v>39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</row>
    <row r="8" spans="1:66" s="1" customFormat="1" ht="24.75" customHeight="1">
      <c r="A8" s="601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28" t="s">
        <v>41</v>
      </c>
      <c r="S8" s="528" t="s">
        <v>33</v>
      </c>
      <c r="T8" s="528" t="s">
        <v>773</v>
      </c>
      <c r="U8" s="528" t="s">
        <v>33</v>
      </c>
      <c r="V8" s="528"/>
      <c r="W8" s="583"/>
      <c r="X8" s="528"/>
      <c r="Y8" s="528"/>
      <c r="Z8" s="528"/>
      <c r="AA8" s="572"/>
      <c r="AB8" s="574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 ht="25.5" customHeight="1" thickBot="1">
      <c r="A9" s="602"/>
      <c r="B9" s="597"/>
      <c r="C9" s="597"/>
      <c r="D9" s="597"/>
      <c r="E9" s="597"/>
      <c r="F9" s="597"/>
      <c r="G9" s="597"/>
      <c r="H9" s="597"/>
      <c r="I9" s="244" t="s">
        <v>17</v>
      </c>
      <c r="J9" s="244" t="s">
        <v>18</v>
      </c>
      <c r="K9" s="244" t="s">
        <v>16</v>
      </c>
      <c r="L9" s="244" t="s">
        <v>19</v>
      </c>
      <c r="M9" s="244" t="s">
        <v>20</v>
      </c>
      <c r="N9" s="244" t="s">
        <v>19</v>
      </c>
      <c r="O9" s="244" t="s">
        <v>21</v>
      </c>
      <c r="P9" s="244" t="s">
        <v>22</v>
      </c>
      <c r="Q9" s="597"/>
      <c r="R9" s="599"/>
      <c r="S9" s="599"/>
      <c r="T9" s="597"/>
      <c r="U9" s="599"/>
      <c r="V9" s="599"/>
      <c r="W9" s="600"/>
      <c r="X9" s="599"/>
      <c r="Y9" s="599"/>
      <c r="Z9" s="599"/>
      <c r="AA9" s="597"/>
      <c r="AB9" s="598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</row>
    <row r="10" spans="1:35" ht="12.75">
      <c r="A10" s="245" t="s">
        <v>97</v>
      </c>
      <c r="B10" s="246">
        <v>972</v>
      </c>
      <c r="C10" s="247" t="s">
        <v>373</v>
      </c>
      <c r="D10" s="246">
        <v>20200301</v>
      </c>
      <c r="E10" s="247" t="s">
        <v>374</v>
      </c>
      <c r="F10" s="246" t="s">
        <v>75</v>
      </c>
      <c r="G10" s="246">
        <v>0</v>
      </c>
      <c r="H10" s="247" t="s">
        <v>204</v>
      </c>
      <c r="I10" s="246">
        <v>0.5</v>
      </c>
      <c r="J10" s="247" t="s">
        <v>393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7" t="s">
        <v>52</v>
      </c>
      <c r="R10" s="247"/>
      <c r="S10" s="247"/>
      <c r="T10" s="247"/>
      <c r="U10" s="247"/>
      <c r="V10" s="247"/>
      <c r="W10" s="248">
        <f aca="true" t="shared" si="0" ref="W10:W18">Z10*I10/2000</f>
        <v>0.00132</v>
      </c>
      <c r="X10" s="246" t="s">
        <v>51</v>
      </c>
      <c r="Y10" s="246">
        <v>3</v>
      </c>
      <c r="Z10" s="246">
        <v>5.28</v>
      </c>
      <c r="AA10" s="246" t="s">
        <v>391</v>
      </c>
      <c r="AB10" s="249" t="s">
        <v>392</v>
      </c>
      <c r="AC10" s="74"/>
      <c r="AD10" s="74"/>
      <c r="AE10" s="74"/>
      <c r="AF10" s="74"/>
      <c r="AG10" s="74"/>
      <c r="AH10" s="74"/>
      <c r="AI10" s="74"/>
    </row>
    <row r="11" spans="1:35" ht="12.75">
      <c r="A11" s="250" t="s">
        <v>97</v>
      </c>
      <c r="B11" s="80">
        <v>1031</v>
      </c>
      <c r="C11" s="79" t="s">
        <v>375</v>
      </c>
      <c r="D11" s="80">
        <v>20200102</v>
      </c>
      <c r="E11" s="79" t="s">
        <v>210</v>
      </c>
      <c r="F11" s="80" t="s">
        <v>75</v>
      </c>
      <c r="G11" s="80">
        <v>0</v>
      </c>
      <c r="H11" s="79" t="s">
        <v>207</v>
      </c>
      <c r="I11" s="80">
        <v>23.712</v>
      </c>
      <c r="J11" s="79" t="s">
        <v>393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79" t="s">
        <v>52</v>
      </c>
      <c r="R11" s="79"/>
      <c r="S11" s="79"/>
      <c r="T11" s="79"/>
      <c r="U11" s="79"/>
      <c r="V11" s="79"/>
      <c r="W11" s="84">
        <f t="shared" si="0"/>
        <v>0.36872160000000004</v>
      </c>
      <c r="X11" s="80" t="s">
        <v>51</v>
      </c>
      <c r="Y11" s="80">
        <v>3</v>
      </c>
      <c r="Z11" s="80">
        <v>31.1</v>
      </c>
      <c r="AA11" s="80" t="s">
        <v>391</v>
      </c>
      <c r="AB11" s="97" t="s">
        <v>392</v>
      </c>
      <c r="AC11" s="74"/>
      <c r="AD11" s="74"/>
      <c r="AE11" s="74"/>
      <c r="AF11" s="74"/>
      <c r="AG11" s="74"/>
      <c r="AH11" s="74"/>
      <c r="AI11" s="74"/>
    </row>
    <row r="12" spans="1:35" ht="12.75">
      <c r="A12" s="250" t="s">
        <v>97</v>
      </c>
      <c r="B12" s="80">
        <v>1032</v>
      </c>
      <c r="C12" s="79" t="s">
        <v>373</v>
      </c>
      <c r="D12" s="80">
        <v>20200301</v>
      </c>
      <c r="E12" s="79" t="s">
        <v>374</v>
      </c>
      <c r="F12" s="80" t="s">
        <v>75</v>
      </c>
      <c r="G12" s="80">
        <v>0</v>
      </c>
      <c r="H12" s="79" t="s">
        <v>207</v>
      </c>
      <c r="I12" s="80">
        <v>21.833</v>
      </c>
      <c r="J12" s="79" t="s">
        <v>393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79" t="s">
        <v>52</v>
      </c>
      <c r="R12" s="79"/>
      <c r="S12" s="79"/>
      <c r="T12" s="79"/>
      <c r="U12" s="79"/>
      <c r="V12" s="79"/>
      <c r="W12" s="84">
        <f t="shared" si="0"/>
        <v>0.3405948</v>
      </c>
      <c r="X12" s="80" t="s">
        <v>51</v>
      </c>
      <c r="Y12" s="80">
        <v>3</v>
      </c>
      <c r="Z12" s="80">
        <v>31.2</v>
      </c>
      <c r="AA12" s="80" t="s">
        <v>391</v>
      </c>
      <c r="AB12" s="97" t="s">
        <v>392</v>
      </c>
      <c r="AC12" s="74"/>
      <c r="AD12" s="74"/>
      <c r="AE12" s="74"/>
      <c r="AF12" s="74"/>
      <c r="AG12" s="74"/>
      <c r="AH12" s="74"/>
      <c r="AI12" s="74"/>
    </row>
    <row r="13" spans="1:35" ht="12.75">
      <c r="A13" s="250" t="s">
        <v>97</v>
      </c>
      <c r="B13" s="80">
        <v>1033</v>
      </c>
      <c r="C13" s="79" t="s">
        <v>376</v>
      </c>
      <c r="D13" s="80">
        <v>20200102</v>
      </c>
      <c r="E13" s="79" t="s">
        <v>377</v>
      </c>
      <c r="F13" s="80" t="s">
        <v>75</v>
      </c>
      <c r="G13" s="80">
        <v>0</v>
      </c>
      <c r="H13" s="79" t="s">
        <v>207</v>
      </c>
      <c r="I13" s="80">
        <v>0.954</v>
      </c>
      <c r="J13" s="79" t="s">
        <v>393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79" t="s">
        <v>52</v>
      </c>
      <c r="R13" s="79"/>
      <c r="S13" s="79"/>
      <c r="T13" s="79"/>
      <c r="U13" s="79"/>
      <c r="V13" s="79"/>
      <c r="W13" s="84">
        <f t="shared" si="0"/>
        <v>0.014882399999999999</v>
      </c>
      <c r="X13" s="80" t="s">
        <v>51</v>
      </c>
      <c r="Y13" s="80">
        <v>3</v>
      </c>
      <c r="Z13" s="80">
        <v>31.2</v>
      </c>
      <c r="AA13" s="80" t="s">
        <v>391</v>
      </c>
      <c r="AB13" s="97" t="s">
        <v>392</v>
      </c>
      <c r="AC13" s="74"/>
      <c r="AD13" s="74"/>
      <c r="AE13" s="74"/>
      <c r="AF13" s="74"/>
      <c r="AG13" s="74"/>
      <c r="AH13" s="74"/>
      <c r="AI13" s="74"/>
    </row>
    <row r="14" spans="1:35" ht="12.75">
      <c r="A14" s="250" t="s">
        <v>97</v>
      </c>
      <c r="B14" s="80">
        <v>1034</v>
      </c>
      <c r="C14" s="79" t="s">
        <v>378</v>
      </c>
      <c r="D14" s="80">
        <v>20200102</v>
      </c>
      <c r="E14" s="79" t="s">
        <v>379</v>
      </c>
      <c r="F14" s="80" t="s">
        <v>75</v>
      </c>
      <c r="G14" s="80">
        <v>0</v>
      </c>
      <c r="H14" s="79" t="s">
        <v>207</v>
      </c>
      <c r="I14" s="80">
        <v>62</v>
      </c>
      <c r="J14" s="79" t="s">
        <v>393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79" t="s">
        <v>52</v>
      </c>
      <c r="R14" s="79"/>
      <c r="S14" s="79"/>
      <c r="T14" s="79"/>
      <c r="U14" s="79"/>
      <c r="V14" s="79"/>
      <c r="W14" s="84">
        <f t="shared" si="0"/>
        <v>0.9641000000000001</v>
      </c>
      <c r="X14" s="80" t="s">
        <v>51</v>
      </c>
      <c r="Y14" s="80">
        <v>3</v>
      </c>
      <c r="Z14" s="80">
        <v>31.1</v>
      </c>
      <c r="AA14" s="80" t="s">
        <v>391</v>
      </c>
      <c r="AB14" s="97" t="s">
        <v>392</v>
      </c>
      <c r="AC14" s="74"/>
      <c r="AD14" s="74"/>
      <c r="AE14" s="74"/>
      <c r="AF14" s="74"/>
      <c r="AG14" s="74"/>
      <c r="AH14" s="74"/>
      <c r="AI14" s="74"/>
    </row>
    <row r="15" spans="1:35" ht="12.75">
      <c r="A15" s="250" t="s">
        <v>97</v>
      </c>
      <c r="B15" s="80">
        <v>1035</v>
      </c>
      <c r="C15" s="79" t="s">
        <v>174</v>
      </c>
      <c r="D15" s="80">
        <v>20200102</v>
      </c>
      <c r="E15" s="79" t="s">
        <v>380</v>
      </c>
      <c r="F15" s="80" t="s">
        <v>75</v>
      </c>
      <c r="G15" s="80">
        <v>0</v>
      </c>
      <c r="H15" s="79" t="s">
        <v>207</v>
      </c>
      <c r="I15" s="80">
        <v>0.2</v>
      </c>
      <c r="J15" s="79" t="s">
        <v>393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79" t="s">
        <v>52</v>
      </c>
      <c r="R15" s="79"/>
      <c r="S15" s="79"/>
      <c r="T15" s="79"/>
      <c r="U15" s="79"/>
      <c r="V15" s="79"/>
      <c r="W15" s="84">
        <f t="shared" si="0"/>
        <v>0.0031100000000000004</v>
      </c>
      <c r="X15" s="80" t="s">
        <v>51</v>
      </c>
      <c r="Y15" s="80">
        <v>3</v>
      </c>
      <c r="Z15" s="80">
        <v>31.1</v>
      </c>
      <c r="AA15" s="80" t="s">
        <v>391</v>
      </c>
      <c r="AB15" s="97" t="s">
        <v>392</v>
      </c>
      <c r="AC15" s="74"/>
      <c r="AD15" s="74"/>
      <c r="AE15" s="74"/>
      <c r="AF15" s="74"/>
      <c r="AG15" s="74"/>
      <c r="AH15" s="74"/>
      <c r="AI15" s="74"/>
    </row>
    <row r="16" spans="1:35" ht="12.75">
      <c r="A16" s="250" t="s">
        <v>97</v>
      </c>
      <c r="B16" s="80">
        <v>1036</v>
      </c>
      <c r="C16" s="79" t="s">
        <v>202</v>
      </c>
      <c r="D16" s="80">
        <v>20200102</v>
      </c>
      <c r="E16" s="79" t="s">
        <v>297</v>
      </c>
      <c r="F16" s="80" t="s">
        <v>75</v>
      </c>
      <c r="G16" s="80">
        <v>0</v>
      </c>
      <c r="H16" s="79" t="s">
        <v>207</v>
      </c>
      <c r="I16" s="80">
        <v>7.87</v>
      </c>
      <c r="J16" s="79" t="s">
        <v>393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79" t="s">
        <v>52</v>
      </c>
      <c r="R16" s="79"/>
      <c r="S16" s="79"/>
      <c r="T16" s="79"/>
      <c r="U16" s="79"/>
      <c r="V16" s="79"/>
      <c r="W16" s="84">
        <f t="shared" si="0"/>
        <v>0.1223785</v>
      </c>
      <c r="X16" s="80" t="s">
        <v>51</v>
      </c>
      <c r="Y16" s="80">
        <v>3</v>
      </c>
      <c r="Z16" s="80">
        <v>31.1</v>
      </c>
      <c r="AA16" s="80" t="s">
        <v>391</v>
      </c>
      <c r="AB16" s="97" t="s">
        <v>392</v>
      </c>
      <c r="AC16" s="74"/>
      <c r="AD16" s="74"/>
      <c r="AE16" s="74"/>
      <c r="AF16" s="74"/>
      <c r="AG16" s="74"/>
      <c r="AH16" s="74"/>
      <c r="AI16" s="74"/>
    </row>
    <row r="17" spans="1:35" ht="12.75">
      <c r="A17" s="250" t="s">
        <v>48</v>
      </c>
      <c r="B17" s="80">
        <v>1322</v>
      </c>
      <c r="C17" s="79" t="s">
        <v>373</v>
      </c>
      <c r="D17" s="80">
        <v>30500706</v>
      </c>
      <c r="E17" s="79" t="s">
        <v>381</v>
      </c>
      <c r="F17" s="80" t="s">
        <v>75</v>
      </c>
      <c r="G17" s="80">
        <v>87</v>
      </c>
      <c r="H17" s="79" t="s">
        <v>382</v>
      </c>
      <c r="I17" s="80">
        <v>8294</v>
      </c>
      <c r="J17" s="79" t="s">
        <v>361</v>
      </c>
      <c r="K17" s="80">
        <v>22</v>
      </c>
      <c r="L17" s="80" t="s">
        <v>387</v>
      </c>
      <c r="M17" s="75"/>
      <c r="N17" s="80">
        <v>0</v>
      </c>
      <c r="O17" s="80">
        <v>0</v>
      </c>
      <c r="P17" s="80" t="s">
        <v>51</v>
      </c>
      <c r="Q17" s="79" t="s">
        <v>52</v>
      </c>
      <c r="R17" s="241" t="s">
        <v>394</v>
      </c>
      <c r="S17" s="242">
        <v>10</v>
      </c>
      <c r="T17" s="79"/>
      <c r="U17" s="79"/>
      <c r="V17" s="243">
        <v>99</v>
      </c>
      <c r="W17" s="84">
        <f t="shared" si="0"/>
        <v>0.8294000000000001</v>
      </c>
      <c r="X17" s="80">
        <v>0</v>
      </c>
      <c r="Y17" s="80">
        <v>1</v>
      </c>
      <c r="Z17" s="80">
        <v>0.2</v>
      </c>
      <c r="AA17" s="80" t="s">
        <v>388</v>
      </c>
      <c r="AB17" s="97" t="s">
        <v>383</v>
      </c>
      <c r="AC17" s="74"/>
      <c r="AD17" s="74"/>
      <c r="AE17" s="74"/>
      <c r="AF17" s="74"/>
      <c r="AG17" s="74"/>
      <c r="AH17" s="74"/>
      <c r="AI17" s="74"/>
    </row>
    <row r="18" spans="1:35" ht="13.5" thickBot="1">
      <c r="A18" s="251" t="s">
        <v>48</v>
      </c>
      <c r="B18" s="90">
        <v>1323</v>
      </c>
      <c r="C18" s="91" t="s">
        <v>384</v>
      </c>
      <c r="D18" s="90">
        <v>30500706</v>
      </c>
      <c r="E18" s="91" t="s">
        <v>385</v>
      </c>
      <c r="F18" s="90" t="s">
        <v>75</v>
      </c>
      <c r="G18" s="90">
        <v>88</v>
      </c>
      <c r="H18" s="91" t="s">
        <v>386</v>
      </c>
      <c r="I18" s="90">
        <v>8076</v>
      </c>
      <c r="J18" s="91" t="s">
        <v>361</v>
      </c>
      <c r="K18" s="90">
        <v>22</v>
      </c>
      <c r="L18" s="90" t="s">
        <v>387</v>
      </c>
      <c r="M18" s="252"/>
      <c r="N18" s="90">
        <v>0</v>
      </c>
      <c r="O18" s="90">
        <v>0</v>
      </c>
      <c r="P18" s="90" t="s">
        <v>51</v>
      </c>
      <c r="Q18" s="91" t="s">
        <v>52</v>
      </c>
      <c r="R18" s="253" t="s">
        <v>394</v>
      </c>
      <c r="S18" s="254">
        <v>10</v>
      </c>
      <c r="T18" s="91"/>
      <c r="U18" s="91"/>
      <c r="V18" s="255">
        <v>99</v>
      </c>
      <c r="W18" s="95">
        <f t="shared" si="0"/>
        <v>0.8076</v>
      </c>
      <c r="X18" s="90">
        <v>0</v>
      </c>
      <c r="Y18" s="90">
        <v>1</v>
      </c>
      <c r="Z18" s="90">
        <v>0.2</v>
      </c>
      <c r="AA18" s="90" t="s">
        <v>389</v>
      </c>
      <c r="AB18" s="98" t="s">
        <v>383</v>
      </c>
      <c r="AC18" s="74"/>
      <c r="AD18" s="74"/>
      <c r="AE18" s="74"/>
      <c r="AF18" s="74"/>
      <c r="AG18" s="74"/>
      <c r="AH18" s="74"/>
      <c r="AI18" s="74"/>
    </row>
    <row r="19" spans="1:35" ht="13.5" thickBo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445" t="s">
        <v>79</v>
      </c>
      <c r="W19" s="446">
        <f>SUM(W10:W18)</f>
        <v>3.4521072999999998</v>
      </c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:35" ht="13.5" thickTop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123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</row>
    <row r="21" spans="2:35" ht="12.75">
      <c r="B21" s="74"/>
      <c r="C21" s="74" t="s">
        <v>390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123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2:35" ht="12.75">
      <c r="B22" s="74"/>
      <c r="C22" s="74" t="s">
        <v>453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123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</row>
    <row r="23" spans="1:35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123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</row>
    <row r="24" spans="1:35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23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</row>
    <row r="25" spans="1:35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123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</row>
    <row r="26" spans="1:35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123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</row>
    <row r="27" spans="1:35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123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</row>
    <row r="28" spans="1:35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2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23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2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</row>
    <row r="31" spans="1:35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23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</row>
    <row r="32" spans="1:35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2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</row>
    <row r="33" spans="1:35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2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</row>
    <row r="34" spans="1:35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2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</row>
    <row r="35" spans="1:35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2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</row>
    <row r="36" spans="1:35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2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</row>
    <row r="37" spans="1:35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23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</row>
    <row r="38" spans="1:35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23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</row>
    <row r="39" spans="1:35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23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1:35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23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1:35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123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35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23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</row>
    <row r="43" spans="1:35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23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35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23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</row>
    <row r="45" spans="1:35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23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23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23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</row>
    <row r="48" spans="1:35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23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</row>
    <row r="49" spans="1:35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2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</row>
    <row r="50" spans="1:35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23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</row>
    <row r="51" spans="1:35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23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</row>
    <row r="52" spans="1:35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123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1:35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123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</row>
    <row r="54" spans="1:3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123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  <row r="55" spans="1:3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123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123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1:35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123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1:35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123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</row>
    <row r="59" spans="1:35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123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</row>
    <row r="60" spans="1:35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123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</row>
    <row r="61" spans="1:35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123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  <row r="62" spans="1:35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123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</row>
    <row r="63" spans="1:35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23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</row>
    <row r="64" spans="1:35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123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</row>
    <row r="65" spans="1:35" ht="12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123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</row>
    <row r="66" spans="1:35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123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</row>
    <row r="67" spans="1:35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123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</row>
  </sheetData>
  <mergeCells count="24">
    <mergeCell ref="I7:L8"/>
    <mergeCell ref="M7:P8"/>
    <mergeCell ref="Q7:Q9"/>
    <mergeCell ref="R7:S7"/>
    <mergeCell ref="R8:R9"/>
    <mergeCell ref="S8:S9"/>
    <mergeCell ref="E7:E9"/>
    <mergeCell ref="F7:F9"/>
    <mergeCell ref="G7:G9"/>
    <mergeCell ref="H7:H9"/>
    <mergeCell ref="A7:A9"/>
    <mergeCell ref="B7:B9"/>
    <mergeCell ref="C7:C9"/>
    <mergeCell ref="D7:D9"/>
    <mergeCell ref="T8:T9"/>
    <mergeCell ref="AB7:AB9"/>
    <mergeCell ref="X7:X9"/>
    <mergeCell ref="Y7:Y9"/>
    <mergeCell ref="Z7:Z9"/>
    <mergeCell ref="AA7:AA9"/>
    <mergeCell ref="T7:U7"/>
    <mergeCell ref="V7:V9"/>
    <mergeCell ref="W7:W9"/>
    <mergeCell ref="U8:U9"/>
  </mergeCells>
  <printOptions/>
  <pageMargins left="0.25" right="0.16" top="1.69" bottom="1" header="0.5" footer="0.5"/>
  <pageSetup horizontalDpi="600" verticalDpi="600" orientation="landscape" r:id="rId1"/>
  <headerFooter alignWithMargins="0">
    <oddHeader>&amp;L
Holnam Incorporated
Site Name:  Devil's Slide Plant
Site ID:  10007&amp;C&amp;"Arial,Bold"Regional Haze&amp;"Arial,Regular"
1996 Statewide SOx Sources</oddHeader>
    <oddFooter>&amp;R&amp;D
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1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8515625" style="0" customWidth="1"/>
    <col min="5" max="5" width="14.57421875" style="0" customWidth="1"/>
    <col min="6" max="6" width="8.140625" style="0" customWidth="1"/>
    <col min="7" max="7" width="10.421875" style="0" customWidth="1"/>
    <col min="8" max="8" width="15.57421875" style="0" bestFit="1" customWidth="1"/>
    <col min="10" max="10" width="8.28125" style="0" customWidth="1"/>
    <col min="11" max="11" width="7.7109375" style="0" customWidth="1"/>
    <col min="12" max="12" width="10.00390625" style="0" customWidth="1"/>
    <col min="13" max="13" width="8.28125" style="0" customWidth="1"/>
    <col min="14" max="15" width="7.421875" style="0" customWidth="1"/>
    <col min="16" max="16" width="6.28125" style="0" customWidth="1"/>
    <col min="18" max="18" width="15.57421875" style="0" customWidth="1"/>
    <col min="20" max="20" width="18.7109375" style="0" customWidth="1"/>
    <col min="22" max="22" width="9.7109375" style="0" customWidth="1"/>
    <col min="23" max="23" width="10.421875" style="0" customWidth="1"/>
    <col min="24" max="24" width="11.7109375" style="0" customWidth="1"/>
    <col min="25" max="26" width="8.7109375" style="0" customWidth="1"/>
    <col min="27" max="27" width="11.8515625" style="0" customWidth="1"/>
    <col min="28" max="28" width="11.421875" style="0" customWidth="1"/>
    <col min="29" max="29" width="29.140625" style="0" customWidth="1"/>
  </cols>
  <sheetData>
    <row r="1" spans="1:5" ht="15.75">
      <c r="A1" s="14" t="s">
        <v>0</v>
      </c>
      <c r="B1" s="14"/>
      <c r="E1" s="4" t="s">
        <v>44</v>
      </c>
    </row>
    <row r="2" spans="1:5" ht="15">
      <c r="A2" s="14"/>
      <c r="B2" s="14"/>
      <c r="E2" s="5" t="s">
        <v>7</v>
      </c>
    </row>
    <row r="3" spans="1:3" ht="12.75">
      <c r="A3" s="14" t="s">
        <v>13</v>
      </c>
      <c r="B3" s="14" t="s">
        <v>14</v>
      </c>
      <c r="C3" s="43" t="s">
        <v>2</v>
      </c>
    </row>
    <row r="4" spans="1:2" ht="12.75">
      <c r="A4" s="14">
        <v>10327</v>
      </c>
      <c r="B4" s="14"/>
    </row>
    <row r="5" ht="13.5" thickBot="1"/>
    <row r="6" spans="1:66" ht="16.5" customHeight="1">
      <c r="A6" s="512" t="s">
        <v>43</v>
      </c>
      <c r="B6" s="515" t="s">
        <v>29</v>
      </c>
      <c r="C6" s="503" t="s">
        <v>28</v>
      </c>
      <c r="D6" s="503" t="s">
        <v>27</v>
      </c>
      <c r="E6" s="503" t="s">
        <v>26</v>
      </c>
      <c r="F6" s="503" t="s">
        <v>23</v>
      </c>
      <c r="G6" s="503" t="s">
        <v>24</v>
      </c>
      <c r="H6" s="503" t="s">
        <v>25</v>
      </c>
      <c r="I6" s="545" t="s">
        <v>451</v>
      </c>
      <c r="J6" s="578"/>
      <c r="K6" s="578"/>
      <c r="L6" s="579"/>
      <c r="M6" s="549" t="s">
        <v>15</v>
      </c>
      <c r="N6" s="578"/>
      <c r="O6" s="578"/>
      <c r="P6" s="578"/>
      <c r="Q6" s="503" t="s">
        <v>32</v>
      </c>
      <c r="R6" s="545" t="s">
        <v>30</v>
      </c>
      <c r="S6" s="545"/>
      <c r="T6" s="545" t="s">
        <v>31</v>
      </c>
      <c r="U6" s="545"/>
      <c r="V6" s="503" t="s">
        <v>40</v>
      </c>
      <c r="W6" s="582" t="s">
        <v>286</v>
      </c>
      <c r="X6" s="573" t="s">
        <v>34</v>
      </c>
      <c r="Y6" s="515" t="s">
        <v>36</v>
      </c>
      <c r="Z6" s="503" t="s">
        <v>37</v>
      </c>
      <c r="AA6" s="503" t="s">
        <v>38</v>
      </c>
      <c r="AB6" s="573" t="s">
        <v>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1" customFormat="1" ht="24.75" customHeight="1">
      <c r="A7" s="576"/>
      <c r="B7" s="581"/>
      <c r="C7" s="577"/>
      <c r="D7" s="577"/>
      <c r="E7" s="577"/>
      <c r="F7" s="577"/>
      <c r="G7" s="577"/>
      <c r="H7" s="577"/>
      <c r="I7" s="577"/>
      <c r="J7" s="577"/>
      <c r="K7" s="577"/>
      <c r="L7" s="580"/>
      <c r="M7" s="581"/>
      <c r="N7" s="577"/>
      <c r="O7" s="577"/>
      <c r="P7" s="577"/>
      <c r="Q7" s="572"/>
      <c r="R7" s="528" t="s">
        <v>41</v>
      </c>
      <c r="S7" s="528" t="s">
        <v>33</v>
      </c>
      <c r="T7" s="528" t="s">
        <v>42</v>
      </c>
      <c r="U7" s="528" t="s">
        <v>33</v>
      </c>
      <c r="V7" s="528"/>
      <c r="W7" s="583"/>
      <c r="X7" s="574"/>
      <c r="Y7" s="575"/>
      <c r="Z7" s="528"/>
      <c r="AA7" s="572"/>
      <c r="AB7" s="574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25.5" customHeight="1" thickBot="1">
      <c r="A8" s="589"/>
      <c r="B8" s="590"/>
      <c r="C8" s="591"/>
      <c r="D8" s="591"/>
      <c r="E8" s="591"/>
      <c r="F8" s="591"/>
      <c r="G8" s="591"/>
      <c r="H8" s="591"/>
      <c r="I8" s="59" t="s">
        <v>17</v>
      </c>
      <c r="J8" s="59" t="s">
        <v>18</v>
      </c>
      <c r="K8" s="59" t="s">
        <v>16</v>
      </c>
      <c r="L8" s="217" t="s">
        <v>19</v>
      </c>
      <c r="M8" s="170" t="s">
        <v>20</v>
      </c>
      <c r="N8" s="66" t="s">
        <v>19</v>
      </c>
      <c r="O8" s="66" t="s">
        <v>21</v>
      </c>
      <c r="P8" s="66" t="s">
        <v>22</v>
      </c>
      <c r="Q8" s="572"/>
      <c r="R8" s="528"/>
      <c r="S8" s="528"/>
      <c r="T8" s="572"/>
      <c r="U8" s="528"/>
      <c r="V8" s="528"/>
      <c r="W8" s="583"/>
      <c r="X8" s="574"/>
      <c r="Y8" s="575"/>
      <c r="Z8" s="528"/>
      <c r="AA8" s="572"/>
      <c r="AB8" s="5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28" ht="12.75">
      <c r="A9" s="269" t="s">
        <v>48</v>
      </c>
      <c r="B9" s="270">
        <v>2381</v>
      </c>
      <c r="C9" s="271" t="s">
        <v>49</v>
      </c>
      <c r="D9" s="272">
        <v>10100201</v>
      </c>
      <c r="E9" s="271" t="s">
        <v>3</v>
      </c>
      <c r="F9" s="273" t="s">
        <v>75</v>
      </c>
      <c r="G9" s="272">
        <v>1709</v>
      </c>
      <c r="H9" s="271" t="s">
        <v>100</v>
      </c>
      <c r="I9" s="272">
        <v>2360394</v>
      </c>
      <c r="J9" s="273" t="s">
        <v>9</v>
      </c>
      <c r="K9" s="273">
        <v>840</v>
      </c>
      <c r="L9" s="274" t="s">
        <v>10</v>
      </c>
      <c r="M9" s="263">
        <v>11860</v>
      </c>
      <c r="N9" s="260" t="s">
        <v>8</v>
      </c>
      <c r="O9" s="260">
        <v>0.52</v>
      </c>
      <c r="P9" s="260">
        <v>9.63</v>
      </c>
      <c r="Q9" s="75" t="s">
        <v>52</v>
      </c>
      <c r="R9" s="75"/>
      <c r="S9" s="75">
        <v>2</v>
      </c>
      <c r="T9" s="75"/>
      <c r="U9" s="75"/>
      <c r="V9" s="75">
        <v>90</v>
      </c>
      <c r="W9" s="262">
        <v>1981.4</v>
      </c>
      <c r="X9" s="279"/>
      <c r="Y9" s="277">
        <v>10</v>
      </c>
      <c r="Z9" s="260"/>
      <c r="AA9" s="260" t="s">
        <v>51</v>
      </c>
      <c r="AB9" s="88" t="s">
        <v>195</v>
      </c>
    </row>
    <row r="10" spans="1:28" ht="12.75">
      <c r="A10" s="275" t="s">
        <v>48</v>
      </c>
      <c r="B10" s="263">
        <v>2382</v>
      </c>
      <c r="C10" s="261" t="s">
        <v>375</v>
      </c>
      <c r="D10" s="260">
        <v>10100201</v>
      </c>
      <c r="E10" s="261" t="s">
        <v>3</v>
      </c>
      <c r="F10" s="75" t="s">
        <v>75</v>
      </c>
      <c r="G10" s="260">
        <v>1710</v>
      </c>
      <c r="H10" s="261" t="s">
        <v>100</v>
      </c>
      <c r="I10" s="260">
        <v>1950168</v>
      </c>
      <c r="J10" s="75" t="s">
        <v>9</v>
      </c>
      <c r="K10" s="75">
        <v>840</v>
      </c>
      <c r="L10" s="88" t="s">
        <v>10</v>
      </c>
      <c r="M10" s="263">
        <v>11860</v>
      </c>
      <c r="N10" s="260" t="s">
        <v>8</v>
      </c>
      <c r="O10" s="260">
        <v>0.52</v>
      </c>
      <c r="P10" s="260">
        <v>9.63</v>
      </c>
      <c r="Q10" s="75" t="s">
        <v>52</v>
      </c>
      <c r="R10" s="75"/>
      <c r="S10" s="75">
        <v>2</v>
      </c>
      <c r="T10" s="75"/>
      <c r="U10" s="75"/>
      <c r="V10" s="75">
        <v>90</v>
      </c>
      <c r="W10" s="262">
        <v>1777.4</v>
      </c>
      <c r="X10" s="279"/>
      <c r="Y10" s="277">
        <v>10</v>
      </c>
      <c r="Z10" s="260"/>
      <c r="AA10" s="260" t="s">
        <v>51</v>
      </c>
      <c r="AB10" s="88" t="s">
        <v>195</v>
      </c>
    </row>
    <row r="11" spans="1:28" ht="12.75">
      <c r="A11" s="275" t="s">
        <v>48</v>
      </c>
      <c r="B11" s="263">
        <v>7237</v>
      </c>
      <c r="C11" s="261" t="s">
        <v>4</v>
      </c>
      <c r="D11" s="260">
        <v>10100201</v>
      </c>
      <c r="E11" s="261" t="s">
        <v>5</v>
      </c>
      <c r="F11" s="75" t="s">
        <v>75</v>
      </c>
      <c r="G11" s="260">
        <v>1709</v>
      </c>
      <c r="H11" s="261" t="s">
        <v>207</v>
      </c>
      <c r="I11" s="260">
        <v>440031</v>
      </c>
      <c r="J11" s="75" t="s">
        <v>456</v>
      </c>
      <c r="K11" s="75"/>
      <c r="L11" s="88"/>
      <c r="M11" s="263">
        <v>19439</v>
      </c>
      <c r="N11" s="260" t="s">
        <v>8</v>
      </c>
      <c r="O11" s="260">
        <v>0.34</v>
      </c>
      <c r="P11" s="260" t="s">
        <v>51</v>
      </c>
      <c r="Q11" s="75" t="s">
        <v>52</v>
      </c>
      <c r="R11" s="75"/>
      <c r="S11" s="75">
        <v>2</v>
      </c>
      <c r="T11" s="75"/>
      <c r="U11" s="75"/>
      <c r="V11" s="75">
        <v>90</v>
      </c>
      <c r="W11" s="262">
        <f>Z11*I11/1000/2000</f>
        <v>0.440031</v>
      </c>
      <c r="X11" s="279"/>
      <c r="Y11" s="277">
        <v>5</v>
      </c>
      <c r="Z11" s="260">
        <v>2</v>
      </c>
      <c r="AA11" s="75" t="s">
        <v>455</v>
      </c>
      <c r="AB11" s="88"/>
    </row>
    <row r="12" spans="1:28" ht="13.5" thickBot="1">
      <c r="A12" s="276" t="s">
        <v>48</v>
      </c>
      <c r="B12" s="264">
        <v>7239</v>
      </c>
      <c r="C12" s="265" t="s">
        <v>6</v>
      </c>
      <c r="D12" s="266">
        <v>10100201</v>
      </c>
      <c r="E12" s="265" t="s">
        <v>5</v>
      </c>
      <c r="F12" s="252" t="s">
        <v>75</v>
      </c>
      <c r="G12" s="266">
        <v>1710</v>
      </c>
      <c r="H12" s="265" t="s">
        <v>207</v>
      </c>
      <c r="I12" s="266">
        <v>392379</v>
      </c>
      <c r="J12" s="252" t="s">
        <v>456</v>
      </c>
      <c r="K12" s="252"/>
      <c r="L12" s="268"/>
      <c r="M12" s="264">
        <v>19439</v>
      </c>
      <c r="N12" s="266" t="s">
        <v>8</v>
      </c>
      <c r="O12" s="266">
        <v>0.34</v>
      </c>
      <c r="P12" s="266" t="s">
        <v>51</v>
      </c>
      <c r="Q12" s="252" t="s">
        <v>52</v>
      </c>
      <c r="R12" s="252"/>
      <c r="S12" s="252">
        <v>2</v>
      </c>
      <c r="T12" s="252"/>
      <c r="U12" s="252"/>
      <c r="V12" s="252">
        <v>90</v>
      </c>
      <c r="W12" s="267">
        <f>Z12*I12/1000/2000</f>
        <v>0.39237900000000003</v>
      </c>
      <c r="X12" s="280"/>
      <c r="Y12" s="278">
        <v>5</v>
      </c>
      <c r="Z12" s="266">
        <v>2</v>
      </c>
      <c r="AA12" s="252" t="s">
        <v>455</v>
      </c>
      <c r="AB12" s="268"/>
    </row>
    <row r="13" spans="22:24" ht="13.5" thickBot="1">
      <c r="V13" s="445" t="s">
        <v>79</v>
      </c>
      <c r="W13" s="446">
        <f>SUM(W9:W12)</f>
        <v>3759.63241</v>
      </c>
      <c r="X13" s="31"/>
    </row>
    <row r="14" ht="13.5" thickTop="1"/>
    <row r="15" ht="12.75">
      <c r="A15" t="s">
        <v>457</v>
      </c>
    </row>
    <row r="18" s="9" customFormat="1" ht="12.75"/>
    <row r="19" s="9" customFormat="1" ht="12.75"/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</sheetData>
  <mergeCells count="24">
    <mergeCell ref="I6:L7"/>
    <mergeCell ref="M6:P7"/>
    <mergeCell ref="Q6:Q8"/>
    <mergeCell ref="R6:S6"/>
    <mergeCell ref="R7:R8"/>
    <mergeCell ref="S7:S8"/>
    <mergeCell ref="E6:E8"/>
    <mergeCell ref="F6:F8"/>
    <mergeCell ref="G6:G8"/>
    <mergeCell ref="H6:H8"/>
    <mergeCell ref="A6:A8"/>
    <mergeCell ref="B6:B8"/>
    <mergeCell ref="C6:C8"/>
    <mergeCell ref="D6:D8"/>
    <mergeCell ref="AB6:AB8"/>
    <mergeCell ref="T6:U6"/>
    <mergeCell ref="V6:V8"/>
    <mergeCell ref="W6:W8"/>
    <mergeCell ref="U7:U8"/>
    <mergeCell ref="T7:T8"/>
    <mergeCell ref="X6:X8"/>
    <mergeCell ref="Y6:Y8"/>
    <mergeCell ref="Z6:Z8"/>
    <mergeCell ref="AA6:AA8"/>
  </mergeCells>
  <printOptions/>
  <pageMargins left="0.75" right="0.75" top="1.65" bottom="1" header="0.5" footer="0.5"/>
  <pageSetup horizontalDpi="600" verticalDpi="600" orientation="landscape" r:id="rId1"/>
  <headerFooter alignWithMargins="0">
    <oddHeader>&amp;L
Intermountain Power Service Corp
Site Name:  Intermountain Power Generation Station
Site ID:  10327&amp;CRegion Haze
1996 Statewaid SOx Source</oddHeader>
    <oddFooter>&amp;R&amp;D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Air Quality</dc:creator>
  <cp:keywords/>
  <dc:description/>
  <cp:lastModifiedBy>dmcmurtr</cp:lastModifiedBy>
  <cp:lastPrinted>2002-03-18T23:34:41Z</cp:lastPrinted>
  <dcterms:created xsi:type="dcterms:W3CDTF">2001-07-26T03:10:30Z</dcterms:created>
  <dcterms:modified xsi:type="dcterms:W3CDTF">2003-10-21T18:47:48Z</dcterms:modified>
  <cp:category/>
  <cp:version/>
  <cp:contentType/>
  <cp:contentStatus/>
</cp:coreProperties>
</file>